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4" sheetId="1" r:id="rId1"/>
  </sheets>
  <definedNames>
    <definedName name="Excel_BuiltIn_Print_Area" localSheetId="0">'4'!$A$1:$X$97</definedName>
  </definedNames>
  <calcPr fullCalcOnLoad="1"/>
</workbook>
</file>

<file path=xl/sharedStrings.xml><?xml version="1.0" encoding="utf-8"?>
<sst xmlns="http://schemas.openxmlformats.org/spreadsheetml/2006/main" count="208" uniqueCount="189">
  <si>
    <t>Додаток 4                                                                                           до Інвестиційної програми КП “Чорноморськводоканал” погоджено Рішенням Виконкому ЧМР від___________ №________</t>
  </si>
  <si>
    <t>ПОГОДЖЕНО</t>
  </si>
  <si>
    <t xml:space="preserve">ЗАТВЕРДЖЕНО                         </t>
  </si>
  <si>
    <r>
      <t xml:space="preserve">рішенням </t>
    </r>
    <r>
      <rPr>
        <b/>
        <sz val="11"/>
        <color indexed="8"/>
        <rFont val="Times New Roman"/>
        <family val="1"/>
      </rPr>
      <t>Виконавчого комітету Чорноморської</t>
    </r>
  </si>
  <si>
    <t>Директор КП «Чорноморськводоканал»</t>
  </si>
  <si>
    <t>міської ради Одеського району Одеської області</t>
  </si>
  <si>
    <t>(посадова особа ліцензіата)</t>
  </si>
  <si>
    <t xml:space="preserve">          (найменування органу місцевого самоврядування)</t>
  </si>
  <si>
    <t>Євген ІГНАТОВСЬКИЙ</t>
  </si>
  <si>
    <t>Від___________2024  року № ____________</t>
  </si>
  <si>
    <t>(підпис)</t>
  </si>
  <si>
    <t>(П.І.Б.)</t>
  </si>
  <si>
    <t>М.П.</t>
  </si>
  <si>
    <t>________________ 2024 року</t>
  </si>
  <si>
    <t xml:space="preserve">ФІНАНСОВИЙ ПЛАН  </t>
  </si>
  <si>
    <t>використання коштів для  виконання  інвестиційної програми та  їх врахування у структурі тарифів на 12 місяців</t>
  </si>
  <si>
    <t>КП «Чорноморськводоканал»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</si>
  <si>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</si>
  <si>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</si>
  <si>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</si>
  <si>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</si>
  <si>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</si>
  <si>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Сума позичкових коштів та відсотків за їх  використання, що підлягає поверненню у планованому періоді,  тис. грн. (без ПДВ)</t>
  </si>
  <si>
    <t xml:space="preserve"> Сума інших залучених коштів, що підлягає поверненню у планованому періоді, тис. грн.          (без ПДВ)</t>
  </si>
  <si>
    <t>Кошти, що враховуються  у структурі тарифів гр.5 + гр.6. +гр. 11 + гр. 12 тис. грн.  (без ПДВ)</t>
  </si>
  <si>
    <t xml:space="preserve"> За способом виконання тис. грн. (без ПДВ)</t>
  </si>
  <si>
    <t>Графік здійснення заходів та використання коштів на планований період, тис. грн.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</si>
  <si>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</si>
  <si>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</si>
  <si>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 (кВт/год/рік)</t>
  </si>
  <si>
    <t>Економія фонду заробітної плати (тис. грн./рік)</t>
  </si>
  <si>
    <t>Економічний ефект (тис. грн. )**</t>
  </si>
  <si>
    <t xml:space="preserve">загальна сума </t>
  </si>
  <si>
    <t>з урахуванням:</t>
  </si>
  <si>
    <t>господарський  (вартість    матеріальних ресурсів)</t>
  </si>
  <si>
    <t>підряд- ний</t>
  </si>
  <si>
    <t>І кв.</t>
  </si>
  <si>
    <t>ІІ кв.</t>
  </si>
  <si>
    <t>ІІІ кв.</t>
  </si>
  <si>
    <t>ІV кв.</t>
  </si>
  <si>
    <t>аморти-   заційні відраху-   вання</t>
  </si>
  <si>
    <t>виробничі інвестиції з прибутку</t>
  </si>
  <si>
    <t>отримані у плановому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</si>
  <si>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</si>
  <si>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</si>
  <si>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</si>
  <si>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</si>
  <si>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>І</t>
  </si>
  <si>
    <t>ВОДОПОСТАЧАННЯ</t>
  </si>
  <si>
    <t xml:space="preserve">  1.2.</t>
  </si>
  <si>
    <t xml:space="preserve">Інші заходи  з них: </t>
  </si>
  <si>
    <t>1.2.1.</t>
  </si>
  <si>
    <t>Заходи зі зниження питомих витрат, а також втрат ресурсів, з них:</t>
  </si>
  <si>
    <t>1.2.1.1</t>
  </si>
  <si>
    <t>Обв'язка НС</t>
  </si>
  <si>
    <t>1.2.1.2</t>
  </si>
  <si>
    <t>Придбання насосів на НС</t>
  </si>
  <si>
    <t>8 шт</t>
  </si>
  <si>
    <t>1.2.1.3</t>
  </si>
  <si>
    <r>
      <t>Будівництво водопровідної насосної станції “Сухий лиман”</t>
    </r>
    <r>
      <rPr>
        <sz val="9"/>
        <color indexed="8"/>
        <rFont val="Times New Roman"/>
        <family val="1"/>
      </rPr>
      <t xml:space="preserve"> за адресою: Одеська область, с. Сухий Лиман, вул. Морська, 1Б</t>
    </r>
    <r>
      <rPr>
        <i/>
        <sz val="9"/>
        <color indexed="8"/>
        <rFont val="Times New Roman"/>
        <family val="1"/>
      </rPr>
      <t xml:space="preserve"> (частково)</t>
    </r>
  </si>
  <si>
    <t>1НС</t>
  </si>
  <si>
    <t>Усього за підпунктом 1.2.1</t>
  </si>
  <si>
    <t>1.2.2</t>
  </si>
  <si>
    <t>Заходи щодо забезпечення технологічного та/або комерційного обліку ресурсів, з них:</t>
  </si>
  <si>
    <t>1.2.2.1</t>
  </si>
  <si>
    <t>Влаштування технологічних вузлів обліку на мережах водопостачання Чорноморської територіальної громади Одеського району Одеської області</t>
  </si>
  <si>
    <t>3 вузли обліку</t>
  </si>
  <si>
    <t>1.2.2.2</t>
  </si>
  <si>
    <r>
      <t xml:space="preserve">Вузол обліку за адресою: Одеська область, Одеський район, с. В.Дальник вул. Маяцька дорога, 21 </t>
    </r>
    <r>
      <rPr>
        <i/>
        <sz val="9"/>
        <color indexed="8"/>
        <rFont val="Times New Roman"/>
        <family val="1"/>
      </rPr>
      <t>(встановлення витратоміру + обладнання Інфокс +огорожа)</t>
    </r>
  </si>
  <si>
    <t>1 вузол обліку</t>
  </si>
  <si>
    <t>1.2.2.3</t>
  </si>
  <si>
    <t>Влаштування технологічного/комерційного вузла обліку води для багатоквартирного будинку по вул. Перемоги, 91 смт. Олександрівка</t>
  </si>
  <si>
    <t>Усього за підпунктом 1.2.2</t>
  </si>
  <si>
    <t>1.2.3</t>
  </si>
  <si>
    <t>Заходи щодо зменшення обсягу витрат води на технологічні потреби, з них:</t>
  </si>
  <si>
    <t>Усього за підпунктом 1.2.3</t>
  </si>
  <si>
    <t>1.2.5</t>
  </si>
  <si>
    <t>Заходи щодо провадження та розвитку інформаційних технологій, з них:</t>
  </si>
  <si>
    <t>1.2.5.1</t>
  </si>
  <si>
    <r>
      <t xml:space="preserve">Монтаж технічних засобів телекомунікацій за адресами: Одеська область, Одеський район, м. Чорноморськ, проспект Миру, 41А </t>
    </r>
    <r>
      <rPr>
        <i/>
        <sz val="9"/>
        <color indexed="8"/>
        <rFont val="Times New Roman"/>
        <family val="1"/>
      </rPr>
      <t>(частково)</t>
    </r>
  </si>
  <si>
    <t>1.2.5.3</t>
  </si>
  <si>
    <r>
      <t>Створення інформаційно-розрахункового комплексу (геоінформаційної системи) інженерних мереж водопостачання та водовідведення з інтеграцією даних в спеціалізоване програмне забезпечення та трансформацією елементів графічних схем в відповідну систему координат з формуванням гідравлічної моделі мереж водопостачання та водовідведення м. Чорноморська</t>
    </r>
    <r>
      <rPr>
        <i/>
        <sz val="9"/>
        <rFont val="Times New Roman"/>
        <family val="1"/>
      </rPr>
      <t xml:space="preserve"> (частково)</t>
    </r>
  </si>
  <si>
    <t>0.25 ГІС</t>
  </si>
  <si>
    <t>Усього за підпунктом 1.2.5</t>
  </si>
  <si>
    <t>1.2.8</t>
  </si>
  <si>
    <t>Інші заходи, з них:</t>
  </si>
  <si>
    <t>1.2.8.1</t>
  </si>
  <si>
    <r>
      <t>Блискавкозахист адмінбудівлі по пр-ту Миру 41А,станції “Діоксид”, РЧВ, ЦНС</t>
    </r>
    <r>
      <rPr>
        <i/>
        <sz val="10"/>
        <color indexed="8"/>
        <rFont val="Times New Roman"/>
        <family val="1"/>
      </rPr>
      <t xml:space="preserve"> (</t>
    </r>
    <r>
      <rPr>
        <i/>
        <sz val="9"/>
        <color indexed="8"/>
        <rFont val="Times New Roman"/>
        <family val="1"/>
      </rPr>
      <t>проєктні роботи)</t>
    </r>
  </si>
  <si>
    <t>4 проєкти</t>
  </si>
  <si>
    <t>1.2.8.2</t>
  </si>
  <si>
    <r>
      <t xml:space="preserve">Диспетчеризація та автоматизація ПНС в с. Молодіжне, смт. Олександрівка, с. Малодолинське </t>
    </r>
    <r>
      <rPr>
        <i/>
        <sz val="9"/>
        <color indexed="8"/>
        <rFont val="Times New Roman"/>
        <family val="1"/>
      </rPr>
      <t>(проектні та монтажні роботи)</t>
    </r>
  </si>
  <si>
    <t>3 ПНС</t>
  </si>
  <si>
    <t>1.2.8.3</t>
  </si>
  <si>
    <t>Придбання сушарок для одягу</t>
  </si>
  <si>
    <t>2 шт</t>
  </si>
  <si>
    <t>1.2.8.4</t>
  </si>
  <si>
    <t>Геодезія + Сертифікати для введення об'єктів  в експлуатацію</t>
  </si>
  <si>
    <t>1.2.8.5</t>
  </si>
  <si>
    <t>Експертиза раніше розроблених проєктів по водопостачанню</t>
  </si>
  <si>
    <t>проєкти</t>
  </si>
  <si>
    <t>1.2.8.6</t>
  </si>
  <si>
    <t>Придбання трициклу для обслуговування фонтанів</t>
  </si>
  <si>
    <t>1 шт</t>
  </si>
  <si>
    <t>1.2.8.7</t>
  </si>
  <si>
    <t>Придбання обладнання для майстерні</t>
  </si>
  <si>
    <t>1.2.8.8</t>
  </si>
  <si>
    <t>Придбання устаткування для терморезисторного зварювання поліетиленових труб</t>
  </si>
  <si>
    <t>1.2.8.9</t>
  </si>
  <si>
    <t>Придбання вібротрамбівки</t>
  </si>
  <si>
    <t>1.2.8.10</t>
  </si>
  <si>
    <t>Придбання інструментів</t>
  </si>
  <si>
    <t>1.2.8.11</t>
  </si>
  <si>
    <r>
      <t xml:space="preserve">Реконструкція мереж водопроводу за адресою: Одеська область, Одеський район, м. Чорноморськ, вул. Паркова, 46-50 </t>
    </r>
    <r>
      <rPr>
        <i/>
        <sz val="9"/>
        <color indexed="8"/>
        <rFont val="Times New Roman"/>
        <family val="1"/>
      </rPr>
      <t>(проєктні роботи)</t>
    </r>
  </si>
  <si>
    <t>1 проєкт</t>
  </si>
  <si>
    <t>1.2.8.12</t>
  </si>
  <si>
    <r>
      <t xml:space="preserve">Реконструкція мереж водопроводу Ду 400 мм за адресою: Одеська область, Одеський район, м. Чорноморськ, по вул. 1 Травня від вул. Олександрійської до пр-ту Миру </t>
    </r>
    <r>
      <rPr>
        <i/>
        <sz val="9"/>
        <color indexed="8"/>
        <rFont val="Times New Roman"/>
        <family val="1"/>
      </rPr>
      <t>(проєктні роботи)</t>
    </r>
  </si>
  <si>
    <t>1.2.8.13</t>
  </si>
  <si>
    <r>
      <t xml:space="preserve">Реконструкція транзитного трубопроводу Д200мм за адресою: Одеська область, Одеський район, м. Чорноморськ, від вул. 1 Травня, 11 до проспекту Миру, 20а </t>
    </r>
    <r>
      <rPr>
        <i/>
        <sz val="9"/>
        <color indexed="8"/>
        <rFont val="Times New Roman"/>
        <family val="1"/>
      </rPr>
      <t>(проєктні роботи)</t>
    </r>
  </si>
  <si>
    <t>1.2.8.14</t>
  </si>
  <si>
    <r>
      <t xml:space="preserve">Реконструкція водогону Ду 600 мм на рибпорт в с Сухий лиман </t>
    </r>
    <r>
      <rPr>
        <i/>
        <sz val="9"/>
        <color indexed="8"/>
        <rFont val="Times New Roman"/>
        <family val="1"/>
      </rPr>
      <t>(проєктні роботи)</t>
    </r>
  </si>
  <si>
    <t>1.2.8.15</t>
  </si>
  <si>
    <t>Технічна інвентаризація об'єктів для введення їх в експлуатацію</t>
  </si>
  <si>
    <t>1.2.8.16</t>
  </si>
  <si>
    <r>
      <t xml:space="preserve">Реконструкція внутрішньої системи опалення адміністративної будівлі за адресою: Одеська область, Одеський район, м. Чорноморськ, пр-т Миру, 41А </t>
    </r>
    <r>
      <rPr>
        <i/>
        <sz val="9"/>
        <color indexed="8"/>
        <rFont val="Times New Roman"/>
        <family val="1"/>
      </rPr>
      <t>(проєктні роботи)</t>
    </r>
  </si>
  <si>
    <t>Усього за підпунктом 1.2.8</t>
  </si>
  <si>
    <t>Усього за пунктом 1.2</t>
  </si>
  <si>
    <t>Усього за розділом І</t>
  </si>
  <si>
    <t>ІІ</t>
  </si>
  <si>
    <t>ВОДОВІДВЕДЕННЯ</t>
  </si>
  <si>
    <t>2.2.</t>
  </si>
  <si>
    <t xml:space="preserve"> Інші заходи з них:</t>
  </si>
  <si>
    <t>2.2.1.</t>
  </si>
  <si>
    <t>Заходи зі зниження питомих витрат,  а також втрат ресурсів, з них:</t>
  </si>
  <si>
    <t>2.2.1.1</t>
  </si>
  <si>
    <r>
      <t xml:space="preserve">Улаштування технологічного вузла обліку на колекторі Овідіополь </t>
    </r>
    <r>
      <rPr>
        <i/>
        <sz val="9"/>
        <color indexed="8"/>
        <rFont val="Times New Roman"/>
        <family val="1"/>
      </rPr>
      <t>(лічильник+зворотній клапан)</t>
    </r>
  </si>
  <si>
    <t>Усього за підпунктом 2.2.1</t>
  </si>
  <si>
    <t>2.2.2</t>
  </si>
  <si>
    <t>2.2.2.1</t>
  </si>
  <si>
    <t>Усього за підпунктом  2.2.2</t>
  </si>
  <si>
    <t xml:space="preserve">  2.2.3</t>
  </si>
  <si>
    <t xml:space="preserve"> Усього за підпунктом 2.2.3</t>
  </si>
  <si>
    <t>2.2.4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</si>
  <si>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</si>
  <si>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 2.2.4</t>
  </si>
  <si>
    <t>2.2.5</t>
  </si>
  <si>
    <t>Заходи щодо підвищення екологічної безпеки та охорони навколишнього середовища, з них:</t>
  </si>
  <si>
    <t>2.2.5.1</t>
  </si>
  <si>
    <t>Ремонт шнекового дегідратору</t>
  </si>
  <si>
    <t>2 од.</t>
  </si>
  <si>
    <t>2.2.5.2</t>
  </si>
  <si>
    <r>
      <t xml:space="preserve">Придбання 3-х шиберних засувок Ø 1000 мм + Ø 800 мм + Ø 600 мм + 2 фланці Ø 1000 мм + 2 фланці </t>
    </r>
    <r>
      <rPr>
        <sz val="9"/>
        <color indexed="8"/>
        <rFont val="Times New Roman"/>
        <family val="1"/>
      </rPr>
      <t>Ø 800 мм</t>
    </r>
  </si>
  <si>
    <t>3 к-ти</t>
  </si>
  <si>
    <t>2.2.5.3</t>
  </si>
  <si>
    <t>Реконструкція ГКНС, що розташована за адресою: Одеська область, одеський район, м. Чорноморськ, вул. Паркова, 23 (частково)</t>
  </si>
  <si>
    <t>1 ГКНС</t>
  </si>
  <si>
    <t>Усього за підпунктом  2.2.5</t>
  </si>
  <si>
    <t>2.2.6</t>
  </si>
  <si>
    <t>2.2.6.1</t>
  </si>
  <si>
    <r>
      <t xml:space="preserve">Блискавкозахист КОС </t>
    </r>
    <r>
      <rPr>
        <i/>
        <sz val="9"/>
        <color indexed="8"/>
        <rFont val="Times New Roman"/>
        <family val="1"/>
      </rPr>
      <t>(проєктні роботи)</t>
    </r>
  </si>
  <si>
    <t>2.2.6.2</t>
  </si>
  <si>
    <t>2.2.6.3</t>
  </si>
  <si>
    <r>
      <t>Капітальний ремонт каналізаційного колектору Ду 800 мм за адресою: Одеська область, Одеський район, м. Чорноморськ, від вул. 1 Травня, 1П до вул. Паркової, 23</t>
    </r>
    <r>
      <rPr>
        <i/>
        <sz val="9"/>
        <color indexed="8"/>
        <rFont val="Times New Roman"/>
        <family val="1"/>
      </rPr>
      <t xml:space="preserve"> (3 черга)</t>
    </r>
  </si>
  <si>
    <t>2.2.6.4</t>
  </si>
  <si>
    <t>Капітальний ремонт другої секції аеротенку (проєктні роботи)</t>
  </si>
  <si>
    <t>2.2.6.5</t>
  </si>
  <si>
    <t>Капітальний ремонт дороги на КОС</t>
  </si>
  <si>
    <t>2.2.6.6</t>
  </si>
  <si>
    <t>2.2.6.7</t>
  </si>
  <si>
    <t>Підготовка та оформлення документації для отримання дозволу на спецводокористування  та розробка нормативів ГДС речовин із зворотними водами</t>
  </si>
  <si>
    <t>2.2.6.8</t>
  </si>
  <si>
    <t>Реконструкція двох паралельних ділянок напірного каналізаційного колектору Dn 300 мм та Dn 200 мм за адресою: вул. Промислова, 1 в м. Чорноморськ, Одеського району, Одеської області (проектні роботи)</t>
  </si>
  <si>
    <t>2.2.6.9</t>
  </si>
  <si>
    <t>Розробка інвентаризації джерел викидів забруднюючих речовин в атмосферне повітря</t>
  </si>
  <si>
    <t>2.2.6.10</t>
  </si>
  <si>
    <t>2.2.6.11</t>
  </si>
  <si>
    <t>Експертиза раніше розроблених проєктів по водовідведенню</t>
  </si>
  <si>
    <t>Усього за підпунктом 2.2.6</t>
  </si>
  <si>
    <t>Усього за пунктом 2.2</t>
  </si>
  <si>
    <t>Усього за розділом ІІ</t>
  </si>
  <si>
    <t>Усього за інвестиційною програмою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</si>
  <si>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</si>
  <si>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</si>
  <si>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</si>
  <si>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х - ліцензіатом не заповнюється.</t>
  </si>
  <si>
    <t>Начальник ВЗІ</t>
  </si>
  <si>
    <t>Тетяна СКИДАН</t>
  </si>
  <si>
    <t>(посада відповідального виконавця)</t>
  </si>
  <si>
    <t xml:space="preserve">                 (підпис)</t>
  </si>
  <si>
    <r>
      <t>(Власне 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я,ПРІЗВИЩЕ)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</si>
</sst>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@"/>
    <numFmt numFmtId="167" formatCode="_-* #,##0.00&quot;р.&quot;_-;\-* #,##0.00&quot;р.&quot;_-;_-* \-??&quot;р.&quot;_-;_-@_-"/>
    <numFmt numFmtId="168" formatCode="0.00"/>
    <numFmt numFmtId="169" formatCode="0"/>
    <numFmt numFmtId="170" formatCode="0.0"/>
    <numFmt numFmtId="171" formatCode="#,##0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10"/>
      <color indexed="59"/>
      <name val="Times New Roman"/>
      <family val="1"/>
    </font>
    <font>
      <sz val="9"/>
      <name val="Arial Cyr"/>
      <family val="2"/>
    </font>
    <font>
      <b/>
      <sz val="8"/>
      <name val="Times New Roman"/>
      <family val="1"/>
    </font>
    <font>
      <sz val="8"/>
      <name val="Calibri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  <xf numFmtId="164" fontId="2" fillId="0" borderId="0">
      <alignment/>
      <protection/>
    </xf>
  </cellStyleXfs>
  <cellXfs count="166">
    <xf numFmtId="164" fontId="0" fillId="0" borderId="0" xfId="0" applyAlignment="1">
      <alignment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center"/>
    </xf>
    <xf numFmtId="164" fontId="19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4" fontId="19" fillId="0" borderId="0" xfId="0" applyFont="1" applyFill="1" applyBorder="1" applyAlignment="1">
      <alignment/>
    </xf>
    <xf numFmtId="164" fontId="0" fillId="0" borderId="0" xfId="0" applyFill="1" applyAlignment="1">
      <alignment wrapText="1"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63" applyFont="1" applyBorder="1" applyAlignment="1">
      <alignment horizontal="center"/>
      <protection/>
    </xf>
    <xf numFmtId="164" fontId="21" fillId="0" borderId="0" xfId="0" applyFont="1" applyFill="1" applyBorder="1" applyAlignment="1">
      <alignment horizontal="center" vertical="top" wrapText="1"/>
    </xf>
    <xf numFmtId="164" fontId="22" fillId="0" borderId="0" xfId="0" applyFont="1" applyFill="1" applyAlignment="1">
      <alignment vertical="top" wrapText="1"/>
    </xf>
    <xf numFmtId="164" fontId="23" fillId="0" borderId="0" xfId="0" applyFont="1" applyFill="1" applyAlignment="1">
      <alignment horizontal="left" vertical="center" wrapText="1"/>
    </xf>
    <xf numFmtId="164" fontId="24" fillId="0" borderId="0" xfId="0" applyFont="1" applyFill="1" applyAlignment="1">
      <alignment horizontal="left" vertical="center" wrapText="1"/>
    </xf>
    <xf numFmtId="164" fontId="25" fillId="0" borderId="0" xfId="0" applyFont="1" applyFill="1" applyBorder="1" applyAlignment="1">
      <alignment horizontal="left" vertical="center" wrapText="1"/>
    </xf>
    <xf numFmtId="164" fontId="27" fillId="0" borderId="0" xfId="0" applyFont="1" applyFill="1" applyBorder="1" applyAlignment="1">
      <alignment horizontal="left"/>
    </xf>
    <xf numFmtId="164" fontId="28" fillId="0" borderId="0" xfId="0" applyFont="1" applyFill="1" applyBorder="1" applyAlignment="1">
      <alignment horizontal="left" vertical="center" wrapText="1"/>
    </xf>
    <xf numFmtId="164" fontId="29" fillId="0" borderId="0" xfId="0" applyFont="1" applyFill="1" applyBorder="1" applyAlignment="1">
      <alignment horizontal="center" vertical="top"/>
    </xf>
    <xf numFmtId="164" fontId="29" fillId="0" borderId="0" xfId="0" applyFont="1" applyFill="1" applyBorder="1" applyAlignment="1">
      <alignment horizontal="left" vertical="top"/>
    </xf>
    <xf numFmtId="164" fontId="25" fillId="0" borderId="0" xfId="0" applyFont="1" applyFill="1" applyBorder="1" applyAlignment="1">
      <alignment horizontal="left" vertical="center"/>
    </xf>
    <xf numFmtId="164" fontId="19" fillId="0" borderId="10" xfId="0" applyFont="1" applyFill="1" applyBorder="1" applyAlignment="1">
      <alignment/>
    </xf>
    <xf numFmtId="164" fontId="30" fillId="0" borderId="0" xfId="0" applyFont="1" applyFill="1" applyAlignment="1">
      <alignment horizontal="left"/>
    </xf>
    <xf numFmtId="164" fontId="21" fillId="0" borderId="0" xfId="63" applyFont="1" applyAlignment="1">
      <alignment horizontal="left"/>
      <protection/>
    </xf>
    <xf numFmtId="164" fontId="31" fillId="0" borderId="0" xfId="63" applyFont="1" applyBorder="1" applyAlignment="1">
      <alignment horizontal="center"/>
      <protection/>
    </xf>
    <xf numFmtId="164" fontId="22" fillId="0" borderId="0" xfId="0" applyFont="1" applyFill="1" applyAlignment="1">
      <alignment horizontal="left"/>
    </xf>
    <xf numFmtId="164" fontId="2" fillId="0" borderId="0" xfId="63">
      <alignment/>
      <protection/>
    </xf>
    <xf numFmtId="164" fontId="0" fillId="0" borderId="0" xfId="0" applyFill="1" applyAlignment="1">
      <alignment/>
    </xf>
    <xf numFmtId="164" fontId="32" fillId="0" borderId="0" xfId="0" applyFont="1" applyFill="1" applyBorder="1" applyAlignment="1">
      <alignment horizontal="center"/>
    </xf>
    <xf numFmtId="164" fontId="33" fillId="0" borderId="0" xfId="0" applyFont="1" applyFill="1" applyAlignment="1">
      <alignment horizontal="center"/>
    </xf>
    <xf numFmtId="164" fontId="34" fillId="0" borderId="0" xfId="0" applyFont="1" applyFill="1" applyBorder="1" applyAlignment="1">
      <alignment horizontal="center"/>
    </xf>
    <xf numFmtId="164" fontId="21" fillId="0" borderId="11" xfId="0" applyFont="1" applyFill="1" applyBorder="1" applyAlignment="1">
      <alignment horizontal="center" vertical="top" wrapText="1"/>
    </xf>
    <xf numFmtId="164" fontId="20" fillId="0" borderId="12" xfId="0" applyFont="1" applyFill="1" applyBorder="1" applyAlignment="1">
      <alignment horizontal="center" vertical="center" wrapText="1"/>
    </xf>
    <xf numFmtId="164" fontId="20" fillId="0" borderId="12" xfId="38" applyFont="1" applyFill="1" applyBorder="1" applyAlignment="1" applyProtection="1">
      <alignment horizontal="center" vertical="center" wrapText="1"/>
      <protection locked="0"/>
    </xf>
    <xf numFmtId="164" fontId="20" fillId="0" borderId="12" xfId="0" applyFont="1" applyFill="1" applyBorder="1" applyAlignment="1">
      <alignment horizontal="center" vertical="center" textRotation="90" wrapText="1"/>
    </xf>
    <xf numFmtId="164" fontId="20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/>
    </xf>
    <xf numFmtId="164" fontId="20" fillId="0" borderId="0" xfId="0" applyFont="1" applyFill="1" applyAlignment="1">
      <alignment/>
    </xf>
    <xf numFmtId="164" fontId="20" fillId="0" borderId="12" xfId="0" applyFont="1" applyFill="1" applyBorder="1" applyAlignment="1">
      <alignment horizontal="center"/>
    </xf>
    <xf numFmtId="165" fontId="20" fillId="0" borderId="12" xfId="38" applyNumberFormat="1" applyFont="1" applyFill="1" applyBorder="1" applyAlignment="1" applyProtection="1">
      <alignment horizontal="center" vertical="center" wrapText="1"/>
      <protection locked="0"/>
    </xf>
    <xf numFmtId="164" fontId="20" fillId="0" borderId="12" xfId="38" applyFont="1" applyFill="1" applyBorder="1" applyAlignment="1" applyProtection="1">
      <alignment horizontal="center" vertical="top" wrapText="1"/>
      <protection locked="0"/>
    </xf>
    <xf numFmtId="164" fontId="20" fillId="0" borderId="12" xfId="0" applyFont="1" applyFill="1" applyBorder="1" applyAlignment="1">
      <alignment horizontal="center" vertical="top" wrapText="1"/>
    </xf>
    <xf numFmtId="164" fontId="33" fillId="0" borderId="12" xfId="0" applyFont="1" applyFill="1" applyBorder="1" applyAlignment="1">
      <alignment horizontal="center" vertical="center"/>
    </xf>
    <xf numFmtId="166" fontId="33" fillId="0" borderId="12" xfId="0" applyNumberFormat="1" applyFont="1" applyFill="1" applyBorder="1" applyAlignment="1">
      <alignment horizontal="center" vertical="center"/>
    </xf>
    <xf numFmtId="164" fontId="33" fillId="0" borderId="12" xfId="0" applyFont="1" applyFill="1" applyBorder="1" applyAlignment="1">
      <alignment horizontal="center" vertical="center" wrapText="1"/>
    </xf>
    <xf numFmtId="164" fontId="33" fillId="0" borderId="12" xfId="38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35" fillId="6" borderId="12" xfId="0" applyNumberFormat="1" applyFont="1" applyFill="1" applyBorder="1" applyAlignment="1">
      <alignment horizontal="center" vertical="center"/>
    </xf>
    <xf numFmtId="164" fontId="35" fillId="6" borderId="12" xfId="0" applyNumberFormat="1" applyFont="1" applyFill="1" applyBorder="1" applyAlignment="1">
      <alignment horizontal="center"/>
    </xf>
    <xf numFmtId="164" fontId="35" fillId="6" borderId="12" xfId="0" applyFont="1" applyFill="1" applyBorder="1" applyAlignment="1">
      <alignment horizontal="center"/>
    </xf>
    <xf numFmtId="164" fontId="36" fillId="0" borderId="0" xfId="0" applyFont="1" applyFill="1" applyBorder="1" applyAlignment="1">
      <alignment/>
    </xf>
    <xf numFmtId="164" fontId="36" fillId="0" borderId="0" xfId="0" applyFont="1" applyFill="1" applyBorder="1" applyAlignment="1">
      <alignment/>
    </xf>
    <xf numFmtId="164" fontId="36" fillId="0" borderId="0" xfId="0" applyFont="1" applyFill="1" applyAlignment="1">
      <alignment/>
    </xf>
    <xf numFmtId="167" fontId="19" fillId="0" borderId="12" xfId="0" applyNumberFormat="1" applyFont="1" applyFill="1" applyBorder="1" applyAlignment="1">
      <alignment horizontal="center" vertical="center"/>
    </xf>
    <xf numFmtId="167" fontId="19" fillId="0" borderId="12" xfId="0" applyNumberFormat="1" applyFont="1" applyFill="1" applyBorder="1" applyAlignment="1">
      <alignment horizontal="center"/>
    </xf>
    <xf numFmtId="164" fontId="33" fillId="0" borderId="12" xfId="38" applyNumberFormat="1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19" fillId="0" borderId="12" xfId="38" applyNumberFormat="1" applyFont="1" applyFill="1" applyBorder="1" applyAlignment="1" applyProtection="1">
      <alignment horizontal="center" vertical="center" wrapText="1"/>
      <protection/>
    </xf>
    <xf numFmtId="164" fontId="31" fillId="0" borderId="12" xfId="63" applyFont="1" applyFill="1" applyBorder="1" applyAlignment="1">
      <alignment wrapText="1"/>
      <protection/>
    </xf>
    <xf numFmtId="168" fontId="31" fillId="0" borderId="12" xfId="63" applyNumberFormat="1" applyFont="1" applyFill="1" applyBorder="1" applyAlignment="1">
      <alignment horizontal="center" vertical="top" wrapText="1"/>
      <protection/>
    </xf>
    <xf numFmtId="168" fontId="31" fillId="0" borderId="12" xfId="63" applyNumberFormat="1" applyFont="1" applyFill="1" applyBorder="1" applyAlignment="1">
      <alignment vertical="top" wrapText="1"/>
      <protection/>
    </xf>
    <xf numFmtId="168" fontId="20" fillId="0" borderId="12" xfId="0" applyNumberFormat="1" applyFont="1" applyFill="1" applyBorder="1" applyAlignment="1">
      <alignment horizontal="right" vertical="top" wrapText="1"/>
    </xf>
    <xf numFmtId="164" fontId="20" fillId="0" borderId="12" xfId="38" applyNumberFormat="1" applyFont="1" applyFill="1" applyBorder="1" applyAlignment="1" applyProtection="1">
      <alignment horizontal="center" vertical="top" wrapText="1"/>
      <protection/>
    </xf>
    <xf numFmtId="164" fontId="19" fillId="0" borderId="12" xfId="38" applyNumberFormat="1" applyFont="1" applyFill="1" applyBorder="1" applyAlignment="1" applyProtection="1">
      <alignment horizontal="right" vertical="top" wrapText="1"/>
      <protection/>
    </xf>
    <xf numFmtId="168" fontId="19" fillId="0" borderId="12" xfId="38" applyNumberFormat="1" applyFont="1" applyFill="1" applyBorder="1" applyAlignment="1" applyProtection="1">
      <alignment horizontal="right" vertical="top" wrapText="1"/>
      <protection/>
    </xf>
    <xf numFmtId="164" fontId="20" fillId="0" borderId="12" xfId="38" applyNumberFormat="1" applyFont="1" applyFill="1" applyBorder="1" applyAlignment="1" applyProtection="1">
      <alignment horizontal="right" vertical="top" wrapText="1"/>
      <protection/>
    </xf>
    <xf numFmtId="164" fontId="20" fillId="0" borderId="12" xfId="0" applyFont="1" applyFill="1" applyBorder="1" applyAlignment="1">
      <alignment horizontal="left" vertical="top" wrapText="1"/>
    </xf>
    <xf numFmtId="164" fontId="31" fillId="0" borderId="12" xfId="63" applyFont="1" applyFill="1" applyBorder="1" applyAlignment="1">
      <alignment vertical="top" wrapText="1"/>
      <protection/>
    </xf>
    <xf numFmtId="168" fontId="20" fillId="0" borderId="12" xfId="38" applyNumberFormat="1" applyFont="1" applyFill="1" applyBorder="1" applyAlignment="1" applyProtection="1">
      <alignment horizontal="right" vertical="top" wrapText="1"/>
      <protection/>
    </xf>
    <xf numFmtId="164" fontId="20" fillId="0" borderId="12" xfId="0" applyFont="1" applyBorder="1" applyAlignment="1">
      <alignment wrapText="1"/>
    </xf>
    <xf numFmtId="164" fontId="20" fillId="0" borderId="12" xfId="0" applyFont="1" applyFill="1" applyBorder="1" applyAlignment="1">
      <alignment horizontal="right" vertical="top" wrapText="1"/>
    </xf>
    <xf numFmtId="164" fontId="33" fillId="0" borderId="12" xfId="0" applyFont="1" applyFill="1" applyBorder="1" applyAlignment="1">
      <alignment horizontal="center"/>
    </xf>
    <xf numFmtId="168" fontId="20" fillId="6" borderId="12" xfId="0" applyNumberFormat="1" applyFont="1" applyFill="1" applyBorder="1" applyAlignment="1">
      <alignment horizontal="center"/>
    </xf>
    <xf numFmtId="169" fontId="20" fillId="6" borderId="12" xfId="0" applyNumberFormat="1" applyFont="1" applyFill="1" applyBorder="1" applyAlignment="1">
      <alignment horizontal="center"/>
    </xf>
    <xf numFmtId="166" fontId="19" fillId="0" borderId="12" xfId="0" applyNumberFormat="1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horizontal="center"/>
    </xf>
    <xf numFmtId="164" fontId="31" fillId="0" borderId="12" xfId="63" applyFont="1" applyFill="1" applyBorder="1" applyAlignment="1">
      <alignment horizontal="left" vertical="top" wrapText="1"/>
      <protection/>
    </xf>
    <xf numFmtId="164" fontId="20" fillId="0" borderId="12" xfId="0" applyFont="1" applyFill="1" applyBorder="1" applyAlignment="1">
      <alignment horizontal="right" vertical="top"/>
    </xf>
    <xf numFmtId="168" fontId="20" fillId="6" borderId="12" xfId="0" applyNumberFormat="1" applyFont="1" applyFill="1" applyBorder="1" applyAlignment="1">
      <alignment horizontal="right" vertical="top"/>
    </xf>
    <xf numFmtId="164" fontId="19" fillId="0" borderId="12" xfId="0" applyFont="1" applyFill="1" applyBorder="1" applyAlignment="1">
      <alignment horizontal="center"/>
    </xf>
    <xf numFmtId="166" fontId="33" fillId="0" borderId="12" xfId="0" applyNumberFormat="1" applyFont="1" applyFill="1" applyBorder="1" applyAlignment="1">
      <alignment horizontal="center"/>
    </xf>
    <xf numFmtId="164" fontId="20" fillId="6" borderId="12" xfId="0" applyFont="1" applyFill="1" applyBorder="1" applyAlignment="1">
      <alignment/>
    </xf>
    <xf numFmtId="165" fontId="20" fillId="6" borderId="12" xfId="0" applyNumberFormat="1" applyFont="1" applyFill="1" applyBorder="1" applyAlignment="1">
      <alignment/>
    </xf>
    <xf numFmtId="164" fontId="20" fillId="6" borderId="12" xfId="0" applyFont="1" applyFill="1" applyBorder="1" applyAlignment="1">
      <alignment horizontal="right" vertical="top"/>
    </xf>
    <xf numFmtId="170" fontId="20" fillId="6" borderId="12" xfId="0" applyNumberFormat="1" applyFont="1" applyFill="1" applyBorder="1" applyAlignment="1">
      <alignment horizontal="right" vertical="center" wrapText="1"/>
    </xf>
    <xf numFmtId="168" fontId="20" fillId="6" borderId="12" xfId="0" applyNumberFormat="1" applyFont="1" applyFill="1" applyBorder="1" applyAlignment="1">
      <alignment horizontal="right" vertical="center" wrapText="1"/>
    </xf>
    <xf numFmtId="169" fontId="20" fillId="6" borderId="12" xfId="0" applyNumberFormat="1" applyFont="1" applyFill="1" applyBorder="1" applyAlignment="1">
      <alignment horizontal="right" vertical="center" wrapText="1"/>
    </xf>
    <xf numFmtId="166" fontId="19" fillId="0" borderId="12" xfId="0" applyNumberFormat="1" applyFont="1" applyFill="1" applyBorder="1" applyAlignment="1">
      <alignment horizontal="center" wrapText="1"/>
    </xf>
    <xf numFmtId="164" fontId="20" fillId="0" borderId="12" xfId="0" applyFont="1" applyFill="1" applyBorder="1" applyAlignment="1">
      <alignment horizontal="center"/>
    </xf>
    <xf numFmtId="164" fontId="20" fillId="0" borderId="12" xfId="0" applyFont="1" applyFill="1" applyBorder="1" applyAlignment="1">
      <alignment horizontal="right" vertical="center" wrapText="1"/>
    </xf>
    <xf numFmtId="168" fontId="20" fillId="0" borderId="12" xfId="0" applyNumberFormat="1" applyFont="1" applyFill="1" applyBorder="1" applyAlignment="1">
      <alignment horizontal="right" vertical="center" wrapText="1"/>
    </xf>
    <xf numFmtId="164" fontId="20" fillId="0" borderId="12" xfId="0" applyFont="1" applyFill="1" applyBorder="1" applyAlignment="1">
      <alignment wrapText="1"/>
    </xf>
    <xf numFmtId="168" fontId="20" fillId="0" borderId="12" xfId="38" applyNumberFormat="1" applyFont="1" applyFill="1" applyBorder="1" applyAlignment="1" applyProtection="1">
      <alignment horizontal="center" vertical="top" wrapText="1"/>
      <protection/>
    </xf>
    <xf numFmtId="171" fontId="20" fillId="0" borderId="12" xfId="56" applyNumberFormat="1" applyFont="1" applyFill="1" applyBorder="1" applyAlignment="1">
      <alignment horizontal="right" vertical="top" wrapText="1"/>
      <protection/>
    </xf>
    <xf numFmtId="168" fontId="20" fillId="0" borderId="12" xfId="0" applyNumberFormat="1" applyFont="1" applyFill="1" applyBorder="1" applyAlignment="1">
      <alignment horizontal="right" vertical="top"/>
    </xf>
    <xf numFmtId="168" fontId="20" fillId="0" borderId="12" xfId="0" applyNumberFormat="1" applyFont="1" applyFill="1" applyBorder="1" applyAlignment="1">
      <alignment horizontal="right" vertical="top" wrapText="1"/>
    </xf>
    <xf numFmtId="164" fontId="31" fillId="24" borderId="12" xfId="63" applyFont="1" applyFill="1" applyBorder="1" applyAlignment="1">
      <alignment vertical="top" wrapText="1"/>
      <protection/>
    </xf>
    <xf numFmtId="165" fontId="20" fillId="0" borderId="12" xfId="0" applyNumberFormat="1" applyFont="1" applyFill="1" applyBorder="1" applyAlignment="1">
      <alignment horizontal="right" vertical="top" wrapText="1"/>
    </xf>
    <xf numFmtId="165" fontId="20" fillId="0" borderId="12" xfId="56" applyNumberFormat="1" applyFont="1" applyFill="1" applyBorder="1" applyAlignment="1">
      <alignment horizontal="right" vertical="top" wrapText="1"/>
      <protection/>
    </xf>
    <xf numFmtId="164" fontId="0" fillId="0" borderId="12" xfId="0" applyFill="1" applyBorder="1" applyAlignment="1">
      <alignment/>
    </xf>
    <xf numFmtId="168" fontId="20" fillId="24" borderId="12" xfId="0" applyNumberFormat="1" applyFont="1" applyFill="1" applyBorder="1" applyAlignment="1">
      <alignment horizontal="right" vertical="top" wrapText="1"/>
    </xf>
    <xf numFmtId="165" fontId="20" fillId="6" borderId="12" xfId="0" applyNumberFormat="1" applyFont="1" applyFill="1" applyBorder="1" applyAlignment="1">
      <alignment horizontal="center"/>
    </xf>
    <xf numFmtId="168" fontId="40" fillId="24" borderId="12" xfId="0" applyNumberFormat="1" applyFont="1" applyFill="1" applyBorder="1" applyAlignment="1">
      <alignment horizontal="center"/>
    </xf>
    <xf numFmtId="169" fontId="40" fillId="24" borderId="12" xfId="0" applyNumberFormat="1" applyFont="1" applyFill="1" applyBorder="1" applyAlignment="1">
      <alignment horizontal="center"/>
    </xf>
    <xf numFmtId="168" fontId="40" fillId="25" borderId="12" xfId="0" applyNumberFormat="1" applyFont="1" applyFill="1" applyBorder="1" applyAlignment="1">
      <alignment horizontal="center"/>
    </xf>
    <xf numFmtId="169" fontId="40" fillId="25" borderId="12" xfId="0" applyNumberFormat="1" applyFont="1" applyFill="1" applyBorder="1" applyAlignment="1">
      <alignment horizontal="center"/>
    </xf>
    <xf numFmtId="167" fontId="33" fillId="0" borderId="12" xfId="0" applyNumberFormat="1" applyFont="1" applyFill="1" applyBorder="1" applyAlignment="1">
      <alignment horizontal="center" vertical="center"/>
    </xf>
    <xf numFmtId="167" fontId="33" fillId="0" borderId="12" xfId="0" applyNumberFormat="1" applyFont="1" applyFill="1" applyBorder="1" applyAlignment="1">
      <alignment horizontal="center"/>
    </xf>
    <xf numFmtId="164" fontId="31" fillId="0" borderId="12" xfId="63" applyFont="1" applyFill="1" applyBorder="1" applyAlignment="1">
      <alignment horizontal="center" vertical="top" wrapText="1"/>
      <protection/>
    </xf>
    <xf numFmtId="165" fontId="20" fillId="0" borderId="12" xfId="56" applyNumberFormat="1" applyFont="1" applyFill="1" applyBorder="1" applyAlignment="1">
      <alignment horizontal="center" wrapText="1"/>
      <protection/>
    </xf>
    <xf numFmtId="171" fontId="20" fillId="0" borderId="12" xfId="56" applyNumberFormat="1" applyFont="1" applyFill="1" applyBorder="1" applyAlignment="1">
      <alignment horizontal="center" wrapText="1"/>
      <protection/>
    </xf>
    <xf numFmtId="164" fontId="40" fillId="0" borderId="12" xfId="38" applyNumberFormat="1" applyFont="1" applyFill="1" applyBorder="1" applyAlignment="1" applyProtection="1">
      <alignment vertical="center" wrapText="1"/>
      <protection/>
    </xf>
    <xf numFmtId="164" fontId="20" fillId="0" borderId="12" xfId="38" applyNumberFormat="1" applyFont="1" applyFill="1" applyBorder="1" applyAlignment="1" applyProtection="1">
      <alignment vertical="center" wrapText="1"/>
      <protection/>
    </xf>
    <xf numFmtId="168" fontId="20" fillId="6" borderId="12" xfId="0" applyNumberFormat="1" applyFont="1" applyFill="1" applyBorder="1" applyAlignment="1">
      <alignment/>
    </xf>
    <xf numFmtId="164" fontId="19" fillId="0" borderId="12" xfId="0" applyFont="1" applyFill="1" applyBorder="1" applyAlignment="1">
      <alignment wrapText="1"/>
    </xf>
    <xf numFmtId="168" fontId="20" fillId="0" borderId="12" xfId="0" applyNumberFormat="1" applyFont="1" applyFill="1" applyBorder="1" applyAlignment="1">
      <alignment horizontal="center"/>
    </xf>
    <xf numFmtId="168" fontId="20" fillId="0" borderId="12" xfId="56" applyNumberFormat="1" applyFont="1" applyFill="1" applyBorder="1" applyAlignment="1">
      <alignment horizontal="center" wrapText="1"/>
      <protection/>
    </xf>
    <xf numFmtId="168" fontId="40" fillId="0" borderId="12" xfId="0" applyNumberFormat="1" applyFont="1" applyFill="1" applyBorder="1" applyAlignment="1">
      <alignment/>
    </xf>
    <xf numFmtId="168" fontId="20" fillId="0" borderId="12" xfId="0" applyNumberFormat="1" applyFont="1" applyFill="1" applyBorder="1" applyAlignment="1">
      <alignment/>
    </xf>
    <xf numFmtId="168" fontId="40" fillId="0" borderId="12" xfId="0" applyNumberFormat="1" applyFont="1" applyFill="1" applyBorder="1" applyAlignment="1">
      <alignment horizontal="center"/>
    </xf>
    <xf numFmtId="164" fontId="40" fillId="0" borderId="12" xfId="0" applyFont="1" applyFill="1" applyBorder="1" applyAlignment="1">
      <alignment horizontal="center"/>
    </xf>
    <xf numFmtId="164" fontId="41" fillId="0" borderId="12" xfId="38" applyNumberFormat="1" applyFont="1" applyFill="1" applyBorder="1" applyAlignment="1" applyProtection="1">
      <alignment horizontal="center" vertical="center" wrapText="1"/>
      <protection/>
    </xf>
    <xf numFmtId="168" fontId="20" fillId="6" borderId="12" xfId="0" applyNumberFormat="1" applyFont="1" applyFill="1" applyBorder="1" applyAlignment="1">
      <alignment horizontal="right"/>
    </xf>
    <xf numFmtId="165" fontId="20" fillId="6" borderId="12" xfId="0" applyNumberFormat="1" applyFont="1" applyFill="1" applyBorder="1" applyAlignment="1">
      <alignment horizontal="right"/>
    </xf>
    <xf numFmtId="164" fontId="20" fillId="6" borderId="12" xfId="0" applyFont="1" applyFill="1" applyBorder="1" applyAlignment="1">
      <alignment horizontal="right" vertical="center" wrapText="1"/>
    </xf>
    <xf numFmtId="164" fontId="19" fillId="0" borderId="12" xfId="0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0" fillId="0" borderId="12" xfId="0" applyFont="1" applyFill="1" applyBorder="1" applyAlignment="1">
      <alignment/>
    </xf>
    <xf numFmtId="164" fontId="20" fillId="0" borderId="12" xfId="0" applyFont="1" applyFill="1" applyBorder="1" applyAlignment="1">
      <alignment horizontal="right" wrapText="1"/>
    </xf>
    <xf numFmtId="166" fontId="42" fillId="0" borderId="12" xfId="0" applyNumberFormat="1" applyFont="1" applyFill="1" applyBorder="1" applyAlignment="1">
      <alignment horizontal="center" vertical="center"/>
    </xf>
    <xf numFmtId="164" fontId="19" fillId="0" borderId="12" xfId="0" applyFont="1" applyFill="1" applyBorder="1" applyAlignment="1">
      <alignment horizontal="center" vertical="center"/>
    </xf>
    <xf numFmtId="164" fontId="19" fillId="0" borderId="12" xfId="0" applyFont="1" applyBorder="1" applyAlignment="1">
      <alignment horizontal="center" wrapText="1"/>
    </xf>
    <xf numFmtId="168" fontId="20" fillId="0" borderId="12" xfId="0" applyNumberFormat="1" applyFont="1" applyBorder="1" applyAlignment="1">
      <alignment/>
    </xf>
    <xf numFmtId="168" fontId="20" fillId="0" borderId="12" xfId="0" applyNumberFormat="1" applyFont="1" applyFill="1" applyBorder="1" applyAlignment="1">
      <alignment horizontal="center" vertical="center" wrapText="1"/>
    </xf>
    <xf numFmtId="168" fontId="20" fillId="0" borderId="12" xfId="0" applyNumberFormat="1" applyFont="1" applyFill="1" applyBorder="1" applyAlignment="1">
      <alignment horizontal="center" vertical="center"/>
    </xf>
    <xf numFmtId="168" fontId="20" fillId="0" borderId="12" xfId="38" applyNumberFormat="1" applyFont="1" applyFill="1" applyBorder="1" applyAlignment="1" applyProtection="1">
      <alignment horizontal="center" vertical="center" wrapText="1"/>
      <protection locked="0"/>
    </xf>
    <xf numFmtId="168" fontId="20" fillId="0" borderId="12" xfId="0" applyNumberFormat="1" applyFont="1" applyFill="1" applyBorder="1" applyAlignment="1">
      <alignment horizontal="right"/>
    </xf>
    <xf numFmtId="164" fontId="41" fillId="6" borderId="12" xfId="0" applyFont="1" applyFill="1" applyBorder="1" applyAlignment="1">
      <alignment horizontal="center" wrapText="1"/>
    </xf>
    <xf numFmtId="164" fontId="31" fillId="0" borderId="12" xfId="63" applyFont="1" applyFill="1" applyBorder="1" applyAlignment="1">
      <alignment wrapText="1"/>
      <protection/>
    </xf>
    <xf numFmtId="164" fontId="31" fillId="0" borderId="12" xfId="63" applyFont="1" applyFill="1" applyBorder="1" applyAlignment="1">
      <alignment horizontal="center" wrapText="1"/>
      <protection/>
    </xf>
    <xf numFmtId="164" fontId="43" fillId="0" borderId="12" xfId="0" applyFont="1" applyBorder="1" applyAlignment="1">
      <alignment/>
    </xf>
    <xf numFmtId="168" fontId="20" fillId="0" borderId="12" xfId="0" applyNumberFormat="1" applyFont="1" applyFill="1" applyBorder="1" applyAlignment="1">
      <alignment vertical="top" wrapText="1"/>
    </xf>
    <xf numFmtId="169" fontId="20" fillId="0" borderId="12" xfId="0" applyNumberFormat="1" applyFont="1" applyFill="1" applyBorder="1" applyAlignment="1">
      <alignment horizontal="right" vertical="top" wrapText="1"/>
    </xf>
    <xf numFmtId="169" fontId="20" fillId="6" borderId="12" xfId="0" applyNumberFormat="1" applyFont="1" applyFill="1" applyBorder="1" applyAlignment="1">
      <alignment/>
    </xf>
    <xf numFmtId="164" fontId="41" fillId="0" borderId="12" xfId="0" applyFont="1" applyFill="1" applyBorder="1" applyAlignment="1">
      <alignment horizontal="right" vertical="top" wrapText="1"/>
    </xf>
    <xf numFmtId="165" fontId="20" fillId="0" borderId="12" xfId="0" applyNumberFormat="1" applyFont="1" applyFill="1" applyBorder="1" applyAlignment="1">
      <alignment horizontal="right" vertical="top" wrapText="1"/>
    </xf>
    <xf numFmtId="165" fontId="40" fillId="0" borderId="12" xfId="0" applyNumberFormat="1" applyFont="1" applyFill="1" applyBorder="1" applyAlignment="1">
      <alignment horizontal="center"/>
    </xf>
    <xf numFmtId="169" fontId="40" fillId="0" borderId="12" xfId="0" applyNumberFormat="1" applyFont="1" applyFill="1" applyBorder="1" applyAlignment="1">
      <alignment horizontal="center"/>
    </xf>
    <xf numFmtId="168" fontId="40" fillId="22" borderId="12" xfId="0" applyNumberFormat="1" applyFont="1" applyFill="1" applyBorder="1" applyAlignment="1">
      <alignment horizontal="center"/>
    </xf>
    <xf numFmtId="169" fontId="40" fillId="22" borderId="12" xfId="0" applyNumberFormat="1" applyFont="1" applyFill="1" applyBorder="1" applyAlignment="1">
      <alignment horizontal="center"/>
    </xf>
    <xf numFmtId="168" fontId="44" fillId="25" borderId="12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wrapText="1"/>
    </xf>
    <xf numFmtId="165" fontId="19" fillId="0" borderId="0" xfId="0" applyNumberFormat="1" applyFont="1" applyFill="1" applyBorder="1" applyAlignment="1">
      <alignment horizontal="center" wrapText="1"/>
    </xf>
    <xf numFmtId="164" fontId="19" fillId="0" borderId="0" xfId="0" applyFont="1" applyFill="1" applyBorder="1" applyAlignment="1">
      <alignment horizontal="center" wrapText="1"/>
    </xf>
    <xf numFmtId="164" fontId="19" fillId="0" borderId="13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 vertical="center"/>
    </xf>
    <xf numFmtId="165" fontId="19" fillId="0" borderId="0" xfId="0" applyNumberFormat="1" applyFont="1" applyFill="1" applyAlignment="1">
      <alignment/>
    </xf>
    <xf numFmtId="164" fontId="19" fillId="0" borderId="10" xfId="0" applyFont="1" applyFill="1" applyBorder="1" applyAlignment="1">
      <alignment horizontal="center"/>
    </xf>
    <xf numFmtId="164" fontId="19" fillId="0" borderId="10" xfId="0" applyFont="1" applyFill="1" applyBorder="1" applyAlignment="1">
      <alignment horizontal="left"/>
    </xf>
    <xf numFmtId="164" fontId="0" fillId="0" borderId="0" xfId="0" applyFont="1" applyAlignment="1">
      <alignment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Iau?iue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 1" xfId="48"/>
    <cellStyle name="Заголовок 2 1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  <cellStyle name="Excel Built-in Norm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7"/>
  <sheetViews>
    <sheetView tabSelected="1" zoomScaleSheetLayoutView="100" workbookViewId="0" topLeftCell="A85">
      <selection activeCell="F103" sqref="F103"/>
    </sheetView>
  </sheetViews>
  <sheetFormatPr defaultColWidth="9.00390625" defaultRowHeight="12.75"/>
  <cols>
    <col min="1" max="1" width="7.25390625" style="1" customWidth="1"/>
    <col min="2" max="2" width="43.125" style="2" customWidth="1"/>
    <col min="3" max="3" width="9.00390625" style="3" customWidth="1"/>
    <col min="4" max="4" width="9.75390625" style="3" customWidth="1"/>
    <col min="5" max="5" width="9.125" style="3" customWidth="1"/>
    <col min="6" max="6" width="8.875" style="4" customWidth="1"/>
    <col min="7" max="7" width="11.875" style="3" customWidth="1"/>
    <col min="8" max="8" width="11.625" style="3" customWidth="1"/>
    <col min="9" max="9" width="10.875" style="3" customWidth="1"/>
    <col min="10" max="10" width="11.00390625" style="3" customWidth="1"/>
    <col min="11" max="13" width="14.00390625" style="3" customWidth="1"/>
    <col min="14" max="14" width="12.125" style="3" customWidth="1"/>
    <col min="15" max="15" width="8.625" style="3" customWidth="1"/>
    <col min="16" max="18" width="6.625" style="3" customWidth="1"/>
    <col min="19" max="19" width="7.25390625" style="3" customWidth="1"/>
    <col min="20" max="20" width="6.50390625" style="3" customWidth="1"/>
    <col min="21" max="21" width="5.875" style="3" customWidth="1"/>
    <col min="22" max="22" width="6.75390625" style="3" customWidth="1"/>
    <col min="23" max="23" width="5.00390625" style="3" customWidth="1"/>
    <col min="24" max="24" width="7.25390625" style="3" customWidth="1"/>
    <col min="25" max="29" width="9.125" style="5" customWidth="1"/>
    <col min="30" max="16384" width="9.125" style="3" customWidth="1"/>
  </cols>
  <sheetData>
    <row r="1" spans="14:24" ht="12.75" customHeight="1">
      <c r="N1" s="6"/>
      <c r="O1" s="6"/>
      <c r="P1" s="6"/>
      <c r="Q1"/>
      <c r="R1" s="7" t="s">
        <v>0</v>
      </c>
      <c r="S1" s="7"/>
      <c r="T1" s="7"/>
      <c r="U1" s="7"/>
      <c r="V1" s="7"/>
      <c r="W1" s="7"/>
      <c r="X1" s="7"/>
    </row>
    <row r="2" spans="14:24" ht="12.75">
      <c r="N2" s="6"/>
      <c r="O2" s="6"/>
      <c r="P2" s="6"/>
      <c r="Q2"/>
      <c r="R2" s="7"/>
      <c r="S2" s="7"/>
      <c r="T2" s="7"/>
      <c r="U2" s="7"/>
      <c r="V2" s="7"/>
      <c r="W2" s="7"/>
      <c r="X2" s="7"/>
    </row>
    <row r="3" spans="2:24" ht="12.75" customHeight="1">
      <c r="B3" s="8" t="s">
        <v>1</v>
      </c>
      <c r="C3" s="8"/>
      <c r="D3" s="8"/>
      <c r="E3" s="8"/>
      <c r="M3" s="9" t="s">
        <v>2</v>
      </c>
      <c r="N3" s="9"/>
      <c r="O3" s="9"/>
      <c r="P3" s="10"/>
      <c r="Q3" s="11"/>
      <c r="R3" s="11"/>
      <c r="S3" s="12"/>
      <c r="T3" s="12"/>
      <c r="U3" s="12"/>
      <c r="V3" s="12"/>
      <c r="W3" s="12"/>
      <c r="X3" s="12"/>
    </row>
    <row r="4" spans="2:24" ht="12.75" customHeight="1">
      <c r="B4" s="13" t="s">
        <v>3</v>
      </c>
      <c r="C4" s="13"/>
      <c r="D4" s="13"/>
      <c r="E4" s="13"/>
      <c r="M4" s="14" t="s">
        <v>4</v>
      </c>
      <c r="N4" s="14"/>
      <c r="O4" s="14"/>
      <c r="P4" s="14"/>
      <c r="Q4" s="14"/>
      <c r="R4" s="11"/>
      <c r="S4" s="12"/>
      <c r="T4" s="12"/>
      <c r="U4" s="12"/>
      <c r="V4" s="12"/>
      <c r="W4" s="12"/>
      <c r="X4" s="12"/>
    </row>
    <row r="5" spans="2:24" ht="12.75" customHeight="1">
      <c r="B5" s="15" t="s">
        <v>5</v>
      </c>
      <c r="C5" s="15"/>
      <c r="D5" s="15"/>
      <c r="E5" s="15"/>
      <c r="M5" s="16" t="s">
        <v>6</v>
      </c>
      <c r="N5" s="16"/>
      <c r="O5" s="16"/>
      <c r="P5" s="16"/>
      <c r="Q5" s="11"/>
      <c r="R5" s="11"/>
      <c r="S5" s="12"/>
      <c r="T5" s="12"/>
      <c r="U5" s="12"/>
      <c r="V5" s="12"/>
      <c r="W5" s="12"/>
      <c r="X5" s="12"/>
    </row>
    <row r="6" spans="2:24" ht="12.75">
      <c r="B6" s="17" t="s">
        <v>7</v>
      </c>
      <c r="C6" s="17"/>
      <c r="D6" s="17"/>
      <c r="E6" s="17"/>
      <c r="F6" s="18"/>
      <c r="M6" s="19"/>
      <c r="N6" s="19"/>
      <c r="O6" s="20" t="s">
        <v>8</v>
      </c>
      <c r="Q6" s="11"/>
      <c r="R6" s="12"/>
      <c r="S6" s="12"/>
      <c r="T6" s="12"/>
      <c r="U6" s="12"/>
      <c r="V6" s="12"/>
      <c r="W6" s="12"/>
      <c r="X6" s="12"/>
    </row>
    <row r="7" spans="2:24" ht="12.75">
      <c r="B7" s="18" t="s">
        <v>9</v>
      </c>
      <c r="C7" s="18"/>
      <c r="D7" s="18"/>
      <c r="E7" s="18"/>
      <c r="F7" s="18"/>
      <c r="M7" s="16" t="s">
        <v>10</v>
      </c>
      <c r="N7" s="16"/>
      <c r="O7" s="16" t="s">
        <v>11</v>
      </c>
      <c r="P7" s="16"/>
      <c r="Q7" s="11"/>
      <c r="R7" s="11"/>
      <c r="S7" s="12"/>
      <c r="T7" s="12"/>
      <c r="U7" s="12"/>
      <c r="V7" s="12"/>
      <c r="W7" s="12"/>
      <c r="X7" s="12"/>
    </row>
    <row r="8" spans="2:24" ht="12.75">
      <c r="B8" s="21" t="s">
        <v>12</v>
      </c>
      <c r="C8" s="22"/>
      <c r="D8" s="22"/>
      <c r="E8" s="22"/>
      <c r="M8" s="23" t="s">
        <v>13</v>
      </c>
      <c r="N8" s="16"/>
      <c r="O8" s="16"/>
      <c r="P8" s="16"/>
      <c r="Q8" s="11"/>
      <c r="R8" s="11"/>
      <c r="S8" s="12"/>
      <c r="T8" s="12"/>
      <c r="U8" s="12"/>
      <c r="V8" s="12"/>
      <c r="W8" s="12"/>
      <c r="X8" s="12"/>
    </row>
    <row r="9" spans="2:24" ht="12.75">
      <c r="B9"/>
      <c r="C9" s="24"/>
      <c r="D9" s="24"/>
      <c r="E9" s="24"/>
      <c r="M9" s="3" t="s">
        <v>12</v>
      </c>
      <c r="N9"/>
      <c r="O9"/>
      <c r="P9" s="25"/>
      <c r="Q9" s="11"/>
      <c r="R9" s="11"/>
      <c r="S9" s="12"/>
      <c r="T9" s="12"/>
      <c r="U9" s="12"/>
      <c r="V9" s="12"/>
      <c r="W9" s="12"/>
      <c r="X9" s="12"/>
    </row>
    <row r="10" spans="1:23" ht="12.75">
      <c r="A10" s="26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7"/>
    </row>
    <row r="11" spans="1:24" ht="12.75">
      <c r="A11" s="26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2.75">
      <c r="A12" s="28" t="s">
        <v>16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12.75" customHeight="1">
      <c r="A13" s="29" t="s">
        <v>17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9" s="35" customFormat="1" ht="12.75" customHeight="1">
      <c r="A14" s="30" t="s">
        <v>18</v>
      </c>
      <c r="B14" s="30" t="s">
        <v>19</v>
      </c>
      <c r="C14" s="30" t="s">
        <v>20</v>
      </c>
      <c r="D14" s="30" t="s">
        <v>21</v>
      </c>
      <c r="E14" s="30"/>
      <c r="F14" s="30"/>
      <c r="G14" s="30"/>
      <c r="H14" s="30"/>
      <c r="I14" s="30"/>
      <c r="J14" s="30"/>
      <c r="K14" s="31" t="s">
        <v>22</v>
      </c>
      <c r="L14" s="31" t="s">
        <v>23</v>
      </c>
      <c r="M14" s="30" t="s">
        <v>24</v>
      </c>
      <c r="N14" s="30" t="s">
        <v>25</v>
      </c>
      <c r="O14" s="30"/>
      <c r="P14" s="30" t="s">
        <v>26</v>
      </c>
      <c r="Q14" s="30"/>
      <c r="R14" s="30"/>
      <c r="S14" s="30"/>
      <c r="T14" s="32" t="s">
        <v>27</v>
      </c>
      <c r="U14" s="32" t="s">
        <v>28</v>
      </c>
      <c r="V14" s="32" t="s">
        <v>29</v>
      </c>
      <c r="W14" s="32" t="s">
        <v>30</v>
      </c>
      <c r="X14" s="32" t="s">
        <v>31</v>
      </c>
      <c r="Y14" s="33"/>
      <c r="Z14" s="34"/>
      <c r="AA14" s="34"/>
      <c r="AB14" s="34"/>
      <c r="AC14" s="34"/>
    </row>
    <row r="15" spans="1:29" s="35" customFormat="1" ht="12.75" customHeight="1">
      <c r="A15" s="30"/>
      <c r="B15" s="30"/>
      <c r="C15" s="30"/>
      <c r="D15" s="30" t="s">
        <v>32</v>
      </c>
      <c r="E15" s="36" t="s">
        <v>33</v>
      </c>
      <c r="F15" s="36"/>
      <c r="G15" s="36"/>
      <c r="H15" s="36"/>
      <c r="I15" s="36"/>
      <c r="J15" s="36"/>
      <c r="K15" s="31"/>
      <c r="L15" s="31"/>
      <c r="M15" s="30"/>
      <c r="N15" s="30" t="s">
        <v>34</v>
      </c>
      <c r="O15" s="30" t="s">
        <v>35</v>
      </c>
      <c r="P15" s="30" t="s">
        <v>36</v>
      </c>
      <c r="Q15" s="30" t="s">
        <v>37</v>
      </c>
      <c r="R15" s="30" t="s">
        <v>38</v>
      </c>
      <c r="S15" s="30" t="s">
        <v>39</v>
      </c>
      <c r="T15" s="32"/>
      <c r="U15" s="32"/>
      <c r="V15" s="32"/>
      <c r="W15" s="32"/>
      <c r="X15" s="32"/>
      <c r="Y15" s="33"/>
      <c r="Z15" s="34"/>
      <c r="AA15" s="34"/>
      <c r="AB15" s="34"/>
      <c r="AC15" s="34"/>
    </row>
    <row r="16" spans="1:29" s="35" customFormat="1" ht="45" customHeight="1">
      <c r="A16" s="30"/>
      <c r="B16" s="30"/>
      <c r="C16" s="30"/>
      <c r="D16" s="30"/>
      <c r="E16" s="31" t="s">
        <v>40</v>
      </c>
      <c r="F16" s="37" t="s">
        <v>41</v>
      </c>
      <c r="G16" s="38" t="s">
        <v>42</v>
      </c>
      <c r="H16" s="39" t="s">
        <v>43</v>
      </c>
      <c r="I16" s="31" t="s">
        <v>44</v>
      </c>
      <c r="J16" s="31"/>
      <c r="K16" s="31"/>
      <c r="L16" s="31"/>
      <c r="M16" s="30"/>
      <c r="N16" s="30"/>
      <c r="O16" s="30"/>
      <c r="P16" s="30"/>
      <c r="Q16" s="30"/>
      <c r="R16" s="30"/>
      <c r="S16" s="30"/>
      <c r="T16" s="32"/>
      <c r="U16" s="32"/>
      <c r="V16" s="32"/>
      <c r="W16" s="32"/>
      <c r="X16" s="32"/>
      <c r="Y16" s="33"/>
      <c r="Z16" s="34"/>
      <c r="AA16" s="34"/>
      <c r="AB16" s="34"/>
      <c r="AC16" s="34"/>
    </row>
    <row r="17" spans="1:29" s="35" customFormat="1" ht="60.75" customHeight="1">
      <c r="A17" s="30"/>
      <c r="B17" s="30"/>
      <c r="C17" s="30"/>
      <c r="D17" s="30"/>
      <c r="E17" s="31"/>
      <c r="F17" s="37"/>
      <c r="G17" s="38"/>
      <c r="H17" s="39"/>
      <c r="I17" s="31" t="s">
        <v>45</v>
      </c>
      <c r="J17" s="31" t="s">
        <v>46</v>
      </c>
      <c r="K17" s="31"/>
      <c r="L17" s="31"/>
      <c r="M17" s="30"/>
      <c r="N17" s="30"/>
      <c r="O17" s="30"/>
      <c r="P17" s="30"/>
      <c r="Q17" s="30"/>
      <c r="R17" s="30"/>
      <c r="S17" s="30"/>
      <c r="T17" s="32"/>
      <c r="U17" s="32"/>
      <c r="V17" s="32"/>
      <c r="W17" s="32"/>
      <c r="X17" s="32"/>
      <c r="Y17" s="33"/>
      <c r="Z17" s="34"/>
      <c r="AA17" s="34"/>
      <c r="AB17" s="34"/>
      <c r="AC17" s="34"/>
    </row>
    <row r="18" spans="1:29" s="45" customFormat="1" ht="12.75">
      <c r="A18" s="40">
        <v>1</v>
      </c>
      <c r="B18" s="40">
        <v>2</v>
      </c>
      <c r="C18" s="40">
        <v>3</v>
      </c>
      <c r="D18" s="40">
        <v>4</v>
      </c>
      <c r="E18" s="40">
        <v>5</v>
      </c>
      <c r="F18" s="41">
        <v>6</v>
      </c>
      <c r="G18" s="42">
        <v>7</v>
      </c>
      <c r="H18" s="40">
        <v>8</v>
      </c>
      <c r="I18" s="40">
        <v>9</v>
      </c>
      <c r="J18" s="40">
        <v>10</v>
      </c>
      <c r="K18" s="43">
        <v>11</v>
      </c>
      <c r="L18" s="43">
        <v>12</v>
      </c>
      <c r="M18" s="43">
        <v>13</v>
      </c>
      <c r="N18" s="40">
        <v>14</v>
      </c>
      <c r="O18" s="40">
        <v>15</v>
      </c>
      <c r="P18" s="40">
        <v>16</v>
      </c>
      <c r="Q18" s="40">
        <v>17</v>
      </c>
      <c r="R18" s="40">
        <v>18</v>
      </c>
      <c r="S18" s="40">
        <v>19</v>
      </c>
      <c r="T18" s="40">
        <v>20</v>
      </c>
      <c r="U18" s="40">
        <v>21</v>
      </c>
      <c r="V18" s="40">
        <v>22</v>
      </c>
      <c r="W18" s="40">
        <v>23</v>
      </c>
      <c r="X18" s="40">
        <v>24</v>
      </c>
      <c r="Y18" s="44"/>
      <c r="Z18" s="44"/>
      <c r="AA18" s="44"/>
      <c r="AB18" s="44"/>
      <c r="AC18" s="44"/>
    </row>
    <row r="19" spans="1:29" s="51" customFormat="1" ht="12.75">
      <c r="A19" s="46" t="s">
        <v>47</v>
      </c>
      <c r="B19" s="47"/>
      <c r="C19" s="48" t="s">
        <v>48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9"/>
      <c r="Z19" s="49"/>
      <c r="AA19" s="49"/>
      <c r="AB19" s="50"/>
      <c r="AC19" s="50"/>
    </row>
    <row r="20" spans="1:29" s="57" customFormat="1" ht="12.75" customHeight="1">
      <c r="A20" s="52" t="s">
        <v>49</v>
      </c>
      <c r="B20" s="53"/>
      <c r="C20" s="54" t="s">
        <v>50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5"/>
      <c r="Z20" s="55"/>
      <c r="AA20" s="55"/>
      <c r="AB20" s="56"/>
      <c r="AC20" s="56"/>
    </row>
    <row r="21" spans="1:29" s="57" customFormat="1" ht="12.75" customHeight="1">
      <c r="A21" s="52" t="s">
        <v>51</v>
      </c>
      <c r="B21" s="53"/>
      <c r="C21" s="58" t="s">
        <v>52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5"/>
      <c r="Z21" s="55"/>
      <c r="AA21" s="55"/>
      <c r="AB21" s="56"/>
      <c r="AC21" s="56"/>
    </row>
    <row r="22" spans="1:29" s="57" customFormat="1" ht="12.75">
      <c r="A22" s="52" t="s">
        <v>53</v>
      </c>
      <c r="B22" s="59" t="s">
        <v>54</v>
      </c>
      <c r="C22" s="60"/>
      <c r="D22" s="61">
        <f>500/1.2</f>
        <v>416.6666666666667</v>
      </c>
      <c r="E22" s="62">
        <f aca="true" t="shared" si="0" ref="E22:E23">D22</f>
        <v>416.6666666666667</v>
      </c>
      <c r="F22" s="63"/>
      <c r="G22" s="63"/>
      <c r="H22" s="63"/>
      <c r="I22" s="63"/>
      <c r="J22" s="64"/>
      <c r="K22" s="64"/>
      <c r="L22" s="64"/>
      <c r="M22" s="64"/>
      <c r="N22" s="64"/>
      <c r="O22" s="65">
        <f aca="true" t="shared" si="1" ref="O22:O24">D22</f>
        <v>416.6666666666667</v>
      </c>
      <c r="P22" s="65"/>
      <c r="Q22" s="65">
        <v>416.67</v>
      </c>
      <c r="R22" s="65"/>
      <c r="S22" s="65">
        <f aca="true" t="shared" si="2" ref="S22:S24">O22-P22-Q22-R22</f>
        <v>-0.0033333333333303017</v>
      </c>
      <c r="T22" s="66">
        <v>3.6</v>
      </c>
      <c r="U22" s="66"/>
      <c r="V22" s="66">
        <v>215569</v>
      </c>
      <c r="W22" s="66"/>
      <c r="X22" s="66">
        <v>1489.58</v>
      </c>
      <c r="Y22" s="55"/>
      <c r="Z22" s="55"/>
      <c r="AA22" s="55"/>
      <c r="AB22" s="56"/>
      <c r="AC22" s="56"/>
    </row>
    <row r="23" spans="1:29" s="57" customFormat="1" ht="12.75">
      <c r="A23" s="52" t="s">
        <v>55</v>
      </c>
      <c r="B23" s="67" t="s">
        <v>56</v>
      </c>
      <c r="C23" s="60" t="s">
        <v>57</v>
      </c>
      <c r="D23" s="68">
        <v>1228.5</v>
      </c>
      <c r="E23" s="62">
        <f t="shared" si="0"/>
        <v>1228.5</v>
      </c>
      <c r="F23" s="63"/>
      <c r="G23" s="63"/>
      <c r="H23" s="63"/>
      <c r="I23" s="69"/>
      <c r="J23" s="64"/>
      <c r="K23" s="64"/>
      <c r="L23" s="64"/>
      <c r="M23" s="64"/>
      <c r="N23" s="64"/>
      <c r="O23" s="65">
        <f t="shared" si="1"/>
        <v>1228.5</v>
      </c>
      <c r="P23" s="65"/>
      <c r="Q23" s="65">
        <v>610</v>
      </c>
      <c r="R23" s="65">
        <v>618.5</v>
      </c>
      <c r="S23" s="65">
        <f t="shared" si="2"/>
        <v>0</v>
      </c>
      <c r="T23" s="66">
        <v>9.6</v>
      </c>
      <c r="U23" s="66"/>
      <c r="V23" s="66"/>
      <c r="W23" s="66"/>
      <c r="X23" s="66"/>
      <c r="Y23" s="55"/>
      <c r="Z23" s="55"/>
      <c r="AA23" s="55"/>
      <c r="AB23" s="56"/>
      <c r="AC23" s="56"/>
    </row>
    <row r="24" spans="1:29" s="57" customFormat="1" ht="12.75">
      <c r="A24" s="52" t="s">
        <v>58</v>
      </c>
      <c r="B24" s="70" t="s">
        <v>59</v>
      </c>
      <c r="C24" s="60" t="s">
        <v>60</v>
      </c>
      <c r="D24" s="62">
        <v>826.473</v>
      </c>
      <c r="E24" s="62">
        <f>40.3+104.57</f>
        <v>144.87</v>
      </c>
      <c r="F24" s="71"/>
      <c r="G24" s="71"/>
      <c r="H24" s="63"/>
      <c r="I24" s="69"/>
      <c r="J24" s="64">
        <v>681.6</v>
      </c>
      <c r="K24" s="64"/>
      <c r="L24" s="64"/>
      <c r="M24" s="64"/>
      <c r="N24" s="64"/>
      <c r="O24" s="65">
        <f t="shared" si="1"/>
        <v>826.473</v>
      </c>
      <c r="P24" s="65"/>
      <c r="Q24" s="65">
        <v>180</v>
      </c>
      <c r="R24" s="65"/>
      <c r="S24" s="65">
        <f t="shared" si="2"/>
        <v>646.473</v>
      </c>
      <c r="T24" s="66">
        <v>60</v>
      </c>
      <c r="U24" s="66"/>
      <c r="V24" s="66"/>
      <c r="W24" s="66"/>
      <c r="X24" s="66">
        <v>165</v>
      </c>
      <c r="Y24" s="55"/>
      <c r="Z24" s="55"/>
      <c r="AA24" s="55"/>
      <c r="AB24" s="56"/>
      <c r="AC24" s="56"/>
    </row>
    <row r="25" spans="1:29" s="57" customFormat="1" ht="12.75">
      <c r="A25" s="72" t="s">
        <v>61</v>
      </c>
      <c r="B25" s="72"/>
      <c r="C25" s="72"/>
      <c r="D25" s="73">
        <f>SUM(D22:D24)</f>
        <v>2471.6396666666665</v>
      </c>
      <c r="E25" s="73">
        <f>SUM(E22:E24)</f>
        <v>1790.0366666666666</v>
      </c>
      <c r="F25" s="73">
        <f>SUM(F22:F24)</f>
        <v>0</v>
      </c>
      <c r="G25" s="73">
        <f>SUM(G22:G24)</f>
        <v>0</v>
      </c>
      <c r="H25" s="73">
        <f>SUM(H22:H24)</f>
        <v>0</v>
      </c>
      <c r="I25" s="73">
        <f>SUM(I22:I24)</f>
        <v>0</v>
      </c>
      <c r="J25" s="73">
        <f>SUM(J22:J24)</f>
        <v>681.6</v>
      </c>
      <c r="K25" s="73">
        <f>SUM(K22:K24)</f>
        <v>0</v>
      </c>
      <c r="L25" s="73">
        <f>SUM(L22:L24)</f>
        <v>0</v>
      </c>
      <c r="M25" s="73">
        <f>SUM(M22:M24)</f>
        <v>0</v>
      </c>
      <c r="N25" s="73">
        <f>SUM(N22:N24)</f>
        <v>0</v>
      </c>
      <c r="O25" s="73">
        <f>SUM(O22:O24)</f>
        <v>2471.6396666666665</v>
      </c>
      <c r="P25" s="73">
        <f>SUM(P22:P24)</f>
        <v>0</v>
      </c>
      <c r="Q25" s="73">
        <f>SUM(Q22:Q24)</f>
        <v>1206.67</v>
      </c>
      <c r="R25" s="73">
        <f>SUM(R22:R24)</f>
        <v>618.5</v>
      </c>
      <c r="S25" s="73">
        <f>SUM(S22:S24)</f>
        <v>646.4696666666666</v>
      </c>
      <c r="T25" s="73">
        <f>SUM(T22:T24)</f>
        <v>73.19999999999999</v>
      </c>
      <c r="U25" s="73"/>
      <c r="V25" s="74">
        <f>SUM(V22:V24)</f>
        <v>215569</v>
      </c>
      <c r="W25" s="73">
        <f>SUM(W22:W24)</f>
        <v>0</v>
      </c>
      <c r="X25" s="73">
        <f>SUM(X22:X24)</f>
        <v>1654.58</v>
      </c>
      <c r="Y25" s="55"/>
      <c r="Z25" s="55"/>
      <c r="AA25" s="55"/>
      <c r="AB25" s="56"/>
      <c r="AC25" s="56"/>
    </row>
    <row r="26" spans="1:29" s="57" customFormat="1" ht="12.75" customHeight="1">
      <c r="A26" s="75" t="s">
        <v>62</v>
      </c>
      <c r="B26" s="76"/>
      <c r="C26" s="58" t="s">
        <v>63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5"/>
      <c r="Z26" s="55"/>
      <c r="AA26" s="55"/>
      <c r="AB26" s="56"/>
      <c r="AC26" s="56"/>
    </row>
    <row r="27" spans="1:29" s="57" customFormat="1" ht="12.75">
      <c r="A27" s="75" t="s">
        <v>64</v>
      </c>
      <c r="B27" s="77" t="s">
        <v>65</v>
      </c>
      <c r="C27" s="60" t="s">
        <v>66</v>
      </c>
      <c r="D27" s="68">
        <f>300/1.2</f>
        <v>250</v>
      </c>
      <c r="E27" s="62">
        <f aca="true" t="shared" si="3" ref="E27:E29">D27</f>
        <v>250</v>
      </c>
      <c r="F27" s="63"/>
      <c r="G27" s="63"/>
      <c r="H27" s="66"/>
      <c r="I27" s="66"/>
      <c r="J27" s="66"/>
      <c r="K27" s="66"/>
      <c r="L27" s="66"/>
      <c r="M27" s="66"/>
      <c r="N27" s="66"/>
      <c r="O27" s="69">
        <f aca="true" t="shared" si="4" ref="O27:O29">D27</f>
        <v>250</v>
      </c>
      <c r="P27" s="78"/>
      <c r="Q27" s="66"/>
      <c r="R27" s="66">
        <v>250</v>
      </c>
      <c r="S27" s="69">
        <f aca="true" t="shared" si="5" ref="S27:S29">O27-P27-Q27-R27</f>
        <v>0</v>
      </c>
      <c r="T27" s="66">
        <v>62.4</v>
      </c>
      <c r="U27" s="66"/>
      <c r="V27" s="66"/>
      <c r="W27" s="66"/>
      <c r="X27" s="69">
        <v>48.5</v>
      </c>
      <c r="Y27" s="55"/>
      <c r="Z27" s="55"/>
      <c r="AA27" s="55"/>
      <c r="AB27" s="56"/>
      <c r="AC27" s="56"/>
    </row>
    <row r="28" spans="1:29" s="57" customFormat="1" ht="12.75">
      <c r="A28" s="75" t="s">
        <v>67</v>
      </c>
      <c r="B28" s="59" t="s">
        <v>68</v>
      </c>
      <c r="C28" s="60" t="s">
        <v>69</v>
      </c>
      <c r="D28" s="61">
        <f>350/1.2</f>
        <v>291.6666666666667</v>
      </c>
      <c r="E28" s="62">
        <f t="shared" si="3"/>
        <v>291.6666666666667</v>
      </c>
      <c r="F28" s="63"/>
      <c r="G28" s="63"/>
      <c r="H28" s="62"/>
      <c r="I28" s="66"/>
      <c r="J28" s="66"/>
      <c r="K28" s="66"/>
      <c r="L28" s="66"/>
      <c r="M28" s="66"/>
      <c r="N28" s="66"/>
      <c r="O28" s="69">
        <f t="shared" si="4"/>
        <v>291.6666666666667</v>
      </c>
      <c r="P28" s="78"/>
      <c r="Q28" s="66">
        <v>125</v>
      </c>
      <c r="R28" s="66"/>
      <c r="S28" s="69">
        <f t="shared" si="5"/>
        <v>166.66666666666669</v>
      </c>
      <c r="T28" s="66">
        <v>552</v>
      </c>
      <c r="U28" s="66"/>
      <c r="V28" s="66"/>
      <c r="W28" s="66"/>
      <c r="X28" s="69">
        <v>6.34</v>
      </c>
      <c r="Y28" s="55"/>
      <c r="Z28" s="55"/>
      <c r="AA28" s="55"/>
      <c r="AB28" s="56"/>
      <c r="AC28" s="56"/>
    </row>
    <row r="29" spans="1:29" s="57" customFormat="1" ht="12.75">
      <c r="A29" s="75" t="s">
        <v>70</v>
      </c>
      <c r="B29" s="68" t="s">
        <v>71</v>
      </c>
      <c r="C29" s="60" t="s">
        <v>69</v>
      </c>
      <c r="D29" s="68">
        <f>150/1.2</f>
        <v>125</v>
      </c>
      <c r="E29" s="62">
        <f t="shared" si="3"/>
        <v>125</v>
      </c>
      <c r="F29" s="63"/>
      <c r="G29" s="63"/>
      <c r="H29" s="66"/>
      <c r="I29" s="66"/>
      <c r="J29" s="66"/>
      <c r="K29" s="66"/>
      <c r="L29" s="66"/>
      <c r="M29" s="66"/>
      <c r="N29" s="66"/>
      <c r="O29" s="69">
        <f t="shared" si="4"/>
        <v>125</v>
      </c>
      <c r="P29" s="78"/>
      <c r="Q29" s="66"/>
      <c r="R29" s="66">
        <v>125</v>
      </c>
      <c r="S29" s="69">
        <f t="shared" si="5"/>
        <v>0</v>
      </c>
      <c r="T29" s="66">
        <v>236.4</v>
      </c>
      <c r="U29" s="66"/>
      <c r="V29" s="66"/>
      <c r="W29" s="66"/>
      <c r="X29" s="69">
        <v>6.34</v>
      </c>
      <c r="Y29" s="55"/>
      <c r="Z29" s="55"/>
      <c r="AA29" s="55"/>
      <c r="AB29" s="56"/>
      <c r="AC29" s="56"/>
    </row>
    <row r="30" spans="1:29" s="57" customFormat="1" ht="12.75">
      <c r="A30" s="72" t="s">
        <v>72</v>
      </c>
      <c r="B30" s="72"/>
      <c r="C30" s="72" t="e">
        <f>SUM(#REF!)</f>
        <v>#REF!</v>
      </c>
      <c r="D30" s="73">
        <f>SUM(D27:D29)</f>
        <v>666.6666666666667</v>
      </c>
      <c r="E30" s="73">
        <f>SUM(E27:E29)</f>
        <v>666.6666666666667</v>
      </c>
      <c r="F30" s="73">
        <f>SUM(F27:F29)</f>
        <v>0</v>
      </c>
      <c r="G30" s="73">
        <f>SUM(G27:G29)</f>
        <v>0</v>
      </c>
      <c r="H30" s="79">
        <f>SUM(H27:H29)</f>
        <v>0</v>
      </c>
      <c r="I30" s="79">
        <f>SUM(I27:I29)</f>
        <v>0</v>
      </c>
      <c r="J30" s="79">
        <f>SUM(J27:J29)</f>
        <v>0</v>
      </c>
      <c r="K30" s="79">
        <f>SUM(K27:K29)</f>
        <v>0</v>
      </c>
      <c r="L30" s="79">
        <f>SUM(L27:L29)</f>
        <v>0</v>
      </c>
      <c r="M30" s="79">
        <f>SUM(M27:M29)</f>
        <v>0</v>
      </c>
      <c r="N30" s="79">
        <f>SUM(N27:N29)</f>
        <v>0</v>
      </c>
      <c r="O30" s="79">
        <f>SUM(O27:O29)</f>
        <v>666.6666666666667</v>
      </c>
      <c r="P30" s="79">
        <f>SUM(P27:P29)</f>
        <v>0</v>
      </c>
      <c r="Q30" s="79">
        <f>SUM(Q27:Q29)</f>
        <v>125</v>
      </c>
      <c r="R30" s="79">
        <f>SUM(R27:R29)</f>
        <v>375</v>
      </c>
      <c r="S30" s="79">
        <f>SUM(S27:S29)</f>
        <v>166.66666666666669</v>
      </c>
      <c r="T30" s="73">
        <f>SUM(T27:T29)</f>
        <v>850.8</v>
      </c>
      <c r="U30" s="73"/>
      <c r="V30" s="73">
        <f>SUM(V27:V29)</f>
        <v>0</v>
      </c>
      <c r="W30" s="73">
        <f>SUM(W27:W29)</f>
        <v>0</v>
      </c>
      <c r="X30" s="73">
        <f>SUM(X27:X29)</f>
        <v>61.18</v>
      </c>
      <c r="Y30" s="55"/>
      <c r="Z30" s="55"/>
      <c r="AA30" s="55"/>
      <c r="AB30" s="56"/>
      <c r="AC30" s="56"/>
    </row>
    <row r="31" spans="1:29" s="57" customFormat="1" ht="12.75">
      <c r="A31" s="75" t="s">
        <v>73</v>
      </c>
      <c r="B31" s="76"/>
      <c r="C31" s="80" t="s">
        <v>74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55"/>
      <c r="Z31" s="55"/>
      <c r="AA31" s="55"/>
      <c r="AB31" s="56"/>
      <c r="AC31" s="56"/>
    </row>
    <row r="32" spans="1:29" s="57" customFormat="1" ht="12.75">
      <c r="A32" s="81" t="s">
        <v>75</v>
      </c>
      <c r="B32" s="81"/>
      <c r="C32" s="81"/>
      <c r="D32" s="82"/>
      <c r="E32" s="82"/>
      <c r="F32" s="83"/>
      <c r="G32" s="82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5">
        <v>0</v>
      </c>
      <c r="U32" s="86"/>
      <c r="V32" s="87">
        <v>0</v>
      </c>
      <c r="W32" s="86">
        <v>0</v>
      </c>
      <c r="X32" s="86">
        <v>0</v>
      </c>
      <c r="Y32" s="55"/>
      <c r="Z32" s="55"/>
      <c r="AA32" s="55"/>
      <c r="AB32" s="56"/>
      <c r="AC32" s="56"/>
    </row>
    <row r="33" spans="1:29" s="57" customFormat="1" ht="12.75">
      <c r="A33" s="75" t="s">
        <v>76</v>
      </c>
      <c r="B33" s="80" t="s">
        <v>77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44"/>
      <c r="Z33" s="44"/>
      <c r="AA33" s="44"/>
      <c r="AB33" s="56"/>
      <c r="AC33" s="56"/>
    </row>
    <row r="34" spans="1:29" s="57" customFormat="1" ht="12.75">
      <c r="A34" s="88" t="s">
        <v>78</v>
      </c>
      <c r="B34" s="68" t="s">
        <v>79</v>
      </c>
      <c r="C34" s="60"/>
      <c r="D34" s="68">
        <v>390</v>
      </c>
      <c r="E34" s="62">
        <f aca="true" t="shared" si="6" ref="E34:E35">D34</f>
        <v>390</v>
      </c>
      <c r="F34" s="89"/>
      <c r="G34" s="89"/>
      <c r="H34" s="78"/>
      <c r="I34" s="78"/>
      <c r="J34" s="78"/>
      <c r="K34" s="78"/>
      <c r="L34" s="78"/>
      <c r="M34" s="78"/>
      <c r="N34" s="78"/>
      <c r="O34" s="69">
        <f aca="true" t="shared" si="7" ref="O34:O35">D34</f>
        <v>390</v>
      </c>
      <c r="P34" s="69"/>
      <c r="Q34" s="69">
        <v>310</v>
      </c>
      <c r="R34" s="69">
        <v>80</v>
      </c>
      <c r="S34" s="69">
        <f>O34-P34-Q34-R34</f>
        <v>0</v>
      </c>
      <c r="T34" s="90"/>
      <c r="U34" s="90"/>
      <c r="V34" s="90"/>
      <c r="W34" s="90"/>
      <c r="X34" s="91">
        <v>0</v>
      </c>
      <c r="Y34" s="44"/>
      <c r="Z34" s="44"/>
      <c r="AA34" s="44"/>
      <c r="AB34" s="56"/>
      <c r="AC34" s="56"/>
    </row>
    <row r="35" spans="1:29" s="57" customFormat="1" ht="12.75">
      <c r="A35" s="88" t="s">
        <v>80</v>
      </c>
      <c r="B35" s="92" t="s">
        <v>81</v>
      </c>
      <c r="C35" s="93" t="s">
        <v>82</v>
      </c>
      <c r="D35" s="62">
        <f>1250/1.2-301.82</f>
        <v>739.8466666666668</v>
      </c>
      <c r="E35" s="62">
        <f t="shared" si="6"/>
        <v>739.8466666666668</v>
      </c>
      <c r="F35" s="89"/>
      <c r="G35" s="89"/>
      <c r="H35" s="78"/>
      <c r="I35" s="78"/>
      <c r="J35" s="78"/>
      <c r="K35" s="78"/>
      <c r="L35" s="78"/>
      <c r="M35" s="78"/>
      <c r="N35" s="78"/>
      <c r="O35" s="69">
        <f t="shared" si="7"/>
        <v>739.8466666666668</v>
      </c>
      <c r="P35" s="69"/>
      <c r="Q35" s="69">
        <v>200</v>
      </c>
      <c r="R35" s="69">
        <f>300</f>
        <v>300</v>
      </c>
      <c r="S35" s="69">
        <f>O35-Q35-R35</f>
        <v>239.8466666666668</v>
      </c>
      <c r="T35" s="90"/>
      <c r="U35" s="90"/>
      <c r="V35" s="90"/>
      <c r="W35" s="90"/>
      <c r="X35" s="91">
        <v>0</v>
      </c>
      <c r="Y35" s="44"/>
      <c r="Z35" s="44"/>
      <c r="AA35" s="44"/>
      <c r="AB35" s="56"/>
      <c r="AC35" s="56"/>
    </row>
    <row r="36" spans="1:29" s="57" customFormat="1" ht="12.75">
      <c r="A36" s="72" t="s">
        <v>83</v>
      </c>
      <c r="B36" s="72"/>
      <c r="C36" s="72"/>
      <c r="D36" s="73">
        <f>SUM(D34:D35)</f>
        <v>1129.8466666666668</v>
      </c>
      <c r="E36" s="73">
        <f>SUM(E34:E35)</f>
        <v>1129.8466666666668</v>
      </c>
      <c r="F36" s="73">
        <f>SUM(F34:F35)</f>
        <v>0</v>
      </c>
      <c r="G36" s="73">
        <f>SUM(G34:G35)</f>
        <v>0</v>
      </c>
      <c r="H36" s="79">
        <f>SUM(H34:H35)</f>
        <v>0</v>
      </c>
      <c r="I36" s="79">
        <f>SUM(I34:I35)</f>
        <v>0</v>
      </c>
      <c r="J36" s="79">
        <f>SUM(J34:J35)</f>
        <v>0</v>
      </c>
      <c r="K36" s="79">
        <f>SUM(K34:K35)</f>
        <v>0</v>
      </c>
      <c r="L36" s="79">
        <f>SUM(L34:L35)</f>
        <v>0</v>
      </c>
      <c r="M36" s="79">
        <f>SUM(M34:M35)</f>
        <v>0</v>
      </c>
      <c r="N36" s="79">
        <f>SUM(N34:N35)</f>
        <v>0</v>
      </c>
      <c r="O36" s="79">
        <f>SUM(O34:O35)</f>
        <v>1129.8466666666668</v>
      </c>
      <c r="P36" s="79">
        <f>SUM(P34:P35)</f>
        <v>0</v>
      </c>
      <c r="Q36" s="79">
        <f>SUM(Q34:Q35)</f>
        <v>510</v>
      </c>
      <c r="R36" s="79">
        <f>SUM(R34:R35)</f>
        <v>380</v>
      </c>
      <c r="S36" s="79">
        <f>SUM(S34:S35)</f>
        <v>239.8466666666668</v>
      </c>
      <c r="T36" s="79">
        <f>SUM(T34:T35)</f>
        <v>0</v>
      </c>
      <c r="U36" s="79"/>
      <c r="V36" s="79">
        <f>SUM(V34:V35)</f>
        <v>0</v>
      </c>
      <c r="W36" s="79">
        <f>SUM(W34:W35)</f>
        <v>0</v>
      </c>
      <c r="X36" s="79">
        <f>SUM(X34:X35)</f>
        <v>0</v>
      </c>
      <c r="Y36" s="55"/>
      <c r="Z36" s="55"/>
      <c r="AA36" s="55"/>
      <c r="AB36" s="56"/>
      <c r="AC36" s="56"/>
    </row>
    <row r="37" spans="1:29" s="57" customFormat="1" ht="12.75">
      <c r="A37" s="76" t="s">
        <v>84</v>
      </c>
      <c r="B37" s="80" t="s">
        <v>85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55"/>
      <c r="Z37" s="55"/>
      <c r="AA37" s="55"/>
      <c r="AB37" s="56"/>
      <c r="AC37" s="56"/>
    </row>
    <row r="38" spans="1:29" s="57" customFormat="1" ht="12.75">
      <c r="A38" s="88" t="s">
        <v>86</v>
      </c>
      <c r="B38" s="77" t="s">
        <v>87</v>
      </c>
      <c r="C38" s="60" t="s">
        <v>88</v>
      </c>
      <c r="D38" s="61">
        <f>(99.73+26.96+25.3+108.056+12*4)/1.2</f>
        <v>256.705</v>
      </c>
      <c r="E38" s="62">
        <f aca="true" t="shared" si="8" ref="E38:E39">D38</f>
        <v>256.705</v>
      </c>
      <c r="F38" s="71"/>
      <c r="G38" s="71"/>
      <c r="H38" s="71"/>
      <c r="I38" s="71"/>
      <c r="J38" s="94"/>
      <c r="K38" s="94"/>
      <c r="L38" s="78"/>
      <c r="M38" s="78"/>
      <c r="N38" s="95"/>
      <c r="O38" s="96">
        <f aca="true" t="shared" si="9" ref="O38:O53">D38</f>
        <v>256.705</v>
      </c>
      <c r="P38" s="96"/>
      <c r="Q38" s="96">
        <v>256.7</v>
      </c>
      <c r="R38" s="96"/>
      <c r="S38" s="69">
        <f aca="true" t="shared" si="10" ref="S38:S53">O38-P38-Q38-R38</f>
        <v>0.0049999999999954525</v>
      </c>
      <c r="T38" s="71"/>
      <c r="U38" s="71"/>
      <c r="V38" s="71"/>
      <c r="W38" s="71"/>
      <c r="X38" s="62">
        <v>0</v>
      </c>
      <c r="Y38" s="55"/>
      <c r="Z38" s="55"/>
      <c r="AA38" s="55"/>
      <c r="AB38" s="56"/>
      <c r="AC38" s="56"/>
    </row>
    <row r="39" spans="1:29" s="57" customFormat="1" ht="12.75">
      <c r="A39" s="88" t="s">
        <v>89</v>
      </c>
      <c r="B39" s="59" t="s">
        <v>90</v>
      </c>
      <c r="C39" s="60" t="s">
        <v>91</v>
      </c>
      <c r="D39" s="68">
        <f>510/1.2</f>
        <v>425</v>
      </c>
      <c r="E39" s="62">
        <f t="shared" si="8"/>
        <v>425</v>
      </c>
      <c r="F39" s="71"/>
      <c r="G39" s="71"/>
      <c r="H39" s="71"/>
      <c r="I39" s="71"/>
      <c r="J39" s="94"/>
      <c r="K39" s="94"/>
      <c r="L39" s="78"/>
      <c r="M39" s="78"/>
      <c r="N39" s="95"/>
      <c r="O39" s="96">
        <f t="shared" si="9"/>
        <v>425</v>
      </c>
      <c r="P39" s="96"/>
      <c r="Q39" s="96">
        <v>30</v>
      </c>
      <c r="R39" s="96">
        <v>395</v>
      </c>
      <c r="S39" s="69">
        <f t="shared" si="10"/>
        <v>0</v>
      </c>
      <c r="T39" s="71"/>
      <c r="U39" s="71"/>
      <c r="V39" s="71"/>
      <c r="W39" s="71"/>
      <c r="X39" s="62">
        <v>0</v>
      </c>
      <c r="Y39" s="55"/>
      <c r="Z39" s="55"/>
      <c r="AA39" s="55"/>
      <c r="AB39" s="56"/>
      <c r="AC39" s="56"/>
    </row>
    <row r="40" spans="1:29" s="57" customFormat="1" ht="12.75">
      <c r="A40" s="88" t="s">
        <v>92</v>
      </c>
      <c r="B40" s="68" t="s">
        <v>93</v>
      </c>
      <c r="C40" s="60" t="s">
        <v>94</v>
      </c>
      <c r="D40" s="61">
        <f>80/1.2</f>
        <v>66.66666666666667</v>
      </c>
      <c r="E40" s="62"/>
      <c r="F40" s="71"/>
      <c r="G40" s="71"/>
      <c r="H40" s="71"/>
      <c r="I40" s="62"/>
      <c r="J40" s="62">
        <v>66.67</v>
      </c>
      <c r="K40" s="94"/>
      <c r="L40" s="78"/>
      <c r="M40" s="78"/>
      <c r="N40" s="95"/>
      <c r="O40" s="96">
        <f t="shared" si="9"/>
        <v>66.66666666666667</v>
      </c>
      <c r="P40" s="96"/>
      <c r="Q40" s="96"/>
      <c r="R40" s="96"/>
      <c r="S40" s="69">
        <f t="shared" si="10"/>
        <v>66.66666666666667</v>
      </c>
      <c r="T40" s="71">
        <v>154.8</v>
      </c>
      <c r="U40" s="71"/>
      <c r="V40" s="71"/>
      <c r="W40" s="71"/>
      <c r="X40" s="62">
        <v>6.2</v>
      </c>
      <c r="Y40" s="55"/>
      <c r="Z40" s="55"/>
      <c r="AA40" s="55"/>
      <c r="AB40" s="56"/>
      <c r="AC40" s="56"/>
    </row>
    <row r="41" spans="1:29" s="57" customFormat="1" ht="12.75">
      <c r="A41" s="88" t="s">
        <v>95</v>
      </c>
      <c r="B41" s="68" t="s">
        <v>96</v>
      </c>
      <c r="C41" s="60"/>
      <c r="D41" s="97">
        <v>90</v>
      </c>
      <c r="E41" s="62">
        <f aca="true" t="shared" si="11" ref="E41:E45">D41</f>
        <v>90</v>
      </c>
      <c r="F41" s="71"/>
      <c r="G41" s="71"/>
      <c r="H41" s="71"/>
      <c r="I41" s="71"/>
      <c r="J41" s="94"/>
      <c r="K41" s="94"/>
      <c r="L41" s="78"/>
      <c r="M41" s="78"/>
      <c r="N41" s="95"/>
      <c r="O41" s="96">
        <f t="shared" si="9"/>
        <v>90</v>
      </c>
      <c r="P41" s="96">
        <v>73.2</v>
      </c>
      <c r="Q41" s="96"/>
      <c r="R41" s="96"/>
      <c r="S41" s="69">
        <f t="shared" si="10"/>
        <v>16.799999999999997</v>
      </c>
      <c r="T41" s="71"/>
      <c r="U41" s="71"/>
      <c r="V41" s="71"/>
      <c r="W41" s="71"/>
      <c r="X41" s="62">
        <v>0</v>
      </c>
      <c r="Y41" s="55"/>
      <c r="Z41" s="55"/>
      <c r="AA41" s="55"/>
      <c r="AB41" s="56"/>
      <c r="AC41" s="56"/>
    </row>
    <row r="42" spans="1:29" s="57" customFormat="1" ht="12.75">
      <c r="A42" s="88" t="s">
        <v>97</v>
      </c>
      <c r="B42" s="92" t="s">
        <v>98</v>
      </c>
      <c r="C42" s="93" t="s">
        <v>99</v>
      </c>
      <c r="D42" s="98">
        <f>100/1.2</f>
        <v>83.33333333333334</v>
      </c>
      <c r="E42" s="62">
        <f t="shared" si="11"/>
        <v>83.33333333333334</v>
      </c>
      <c r="F42" s="71"/>
      <c r="G42" s="71"/>
      <c r="H42" s="71"/>
      <c r="I42" s="71"/>
      <c r="J42" s="94"/>
      <c r="K42" s="94"/>
      <c r="L42" s="78"/>
      <c r="M42" s="78"/>
      <c r="N42" s="95"/>
      <c r="O42" s="96">
        <f t="shared" si="9"/>
        <v>83.33333333333334</v>
      </c>
      <c r="P42" s="96">
        <v>14.48</v>
      </c>
      <c r="Q42" s="96">
        <v>20</v>
      </c>
      <c r="R42" s="96">
        <v>20</v>
      </c>
      <c r="S42" s="69">
        <f t="shared" si="10"/>
        <v>28.85333333333334</v>
      </c>
      <c r="T42" s="71"/>
      <c r="U42" s="71"/>
      <c r="V42" s="71"/>
      <c r="W42" s="71"/>
      <c r="X42" s="62">
        <v>0</v>
      </c>
      <c r="Y42" s="55"/>
      <c r="Z42" s="55"/>
      <c r="AA42" s="55"/>
      <c r="AB42" s="56"/>
      <c r="AC42" s="56"/>
    </row>
    <row r="43" spans="1:29" s="57" customFormat="1" ht="12.75">
      <c r="A43" s="88" t="s">
        <v>100</v>
      </c>
      <c r="B43" s="68" t="s">
        <v>101</v>
      </c>
      <c r="C43" s="60" t="s">
        <v>102</v>
      </c>
      <c r="D43" s="61">
        <f>118.28/1.2</f>
        <v>98.56666666666668</v>
      </c>
      <c r="E43" s="62">
        <f t="shared" si="11"/>
        <v>98.56666666666668</v>
      </c>
      <c r="F43" s="71"/>
      <c r="G43" s="71"/>
      <c r="H43" s="71"/>
      <c r="I43" s="71"/>
      <c r="J43" s="94"/>
      <c r="K43" s="94"/>
      <c r="L43" s="78"/>
      <c r="M43" s="78"/>
      <c r="N43" s="95"/>
      <c r="O43" s="96">
        <f t="shared" si="9"/>
        <v>98.56666666666668</v>
      </c>
      <c r="P43" s="96">
        <v>98.57</v>
      </c>
      <c r="Q43" s="96"/>
      <c r="R43" s="96"/>
      <c r="S43" s="69">
        <f t="shared" si="10"/>
        <v>-0.003333333333316091</v>
      </c>
      <c r="T43" s="71">
        <v>27.6</v>
      </c>
      <c r="U43" s="71"/>
      <c r="V43" s="71"/>
      <c r="W43" s="71">
        <v>39.69</v>
      </c>
      <c r="X43" s="62">
        <v>42.69</v>
      </c>
      <c r="Y43" s="55"/>
      <c r="Z43" s="55"/>
      <c r="AA43" s="55"/>
      <c r="AB43" s="56"/>
      <c r="AC43" s="56"/>
    </row>
    <row r="44" spans="1:29" s="57" customFormat="1" ht="12.75">
      <c r="A44" s="88" t="s">
        <v>103</v>
      </c>
      <c r="B44" s="68" t="s">
        <v>104</v>
      </c>
      <c r="C44" s="60"/>
      <c r="D44" s="68">
        <f aca="true" t="shared" si="12" ref="D44:D45">300/1.2</f>
        <v>250</v>
      </c>
      <c r="E44" s="62">
        <f t="shared" si="11"/>
        <v>250</v>
      </c>
      <c r="F44" s="71"/>
      <c r="G44" s="71"/>
      <c r="H44" s="71"/>
      <c r="I44" s="71"/>
      <c r="J44" s="94"/>
      <c r="K44" s="94"/>
      <c r="L44" s="78"/>
      <c r="M44" s="78"/>
      <c r="N44" s="95"/>
      <c r="O44" s="96">
        <f t="shared" si="9"/>
        <v>250</v>
      </c>
      <c r="P44" s="96">
        <v>250</v>
      </c>
      <c r="Q44" s="96"/>
      <c r="R44" s="96"/>
      <c r="S44" s="69">
        <f t="shared" si="10"/>
        <v>0</v>
      </c>
      <c r="T44" s="71">
        <v>3.6</v>
      </c>
      <c r="U44" s="71"/>
      <c r="V44" s="71"/>
      <c r="W44" s="71"/>
      <c r="X44" s="62">
        <v>797.31</v>
      </c>
      <c r="Y44" s="55"/>
      <c r="Z44" s="55"/>
      <c r="AA44" s="55"/>
      <c r="AB44" s="56"/>
      <c r="AC44" s="56"/>
    </row>
    <row r="45" spans="1:29" s="57" customFormat="1" ht="12.75">
      <c r="A45" s="88" t="s">
        <v>105</v>
      </c>
      <c r="B45" s="59" t="s">
        <v>106</v>
      </c>
      <c r="C45" s="60" t="s">
        <v>102</v>
      </c>
      <c r="D45" s="68">
        <f t="shared" si="12"/>
        <v>250</v>
      </c>
      <c r="E45" s="62">
        <f t="shared" si="11"/>
        <v>250</v>
      </c>
      <c r="F45" s="71"/>
      <c r="G45" s="71"/>
      <c r="H45" s="71"/>
      <c r="I45" s="71"/>
      <c r="J45" s="94"/>
      <c r="K45" s="94"/>
      <c r="L45" s="78"/>
      <c r="M45" s="78"/>
      <c r="N45" s="95"/>
      <c r="O45" s="96">
        <f t="shared" si="9"/>
        <v>250</v>
      </c>
      <c r="P45" s="96"/>
      <c r="Q45" s="96"/>
      <c r="R45" s="96">
        <v>250</v>
      </c>
      <c r="S45" s="69">
        <f t="shared" si="10"/>
        <v>0</v>
      </c>
      <c r="T45" s="71">
        <v>8.4</v>
      </c>
      <c r="U45" s="71"/>
      <c r="V45" s="71"/>
      <c r="W45" s="71"/>
      <c r="X45" s="62">
        <v>356.1</v>
      </c>
      <c r="Y45" s="55"/>
      <c r="Z45" s="55"/>
      <c r="AA45" s="55"/>
      <c r="AB45" s="56"/>
      <c r="AC45" s="56"/>
    </row>
    <row r="46" spans="1:29" s="57" customFormat="1" ht="12.75">
      <c r="A46" s="88" t="s">
        <v>107</v>
      </c>
      <c r="B46" s="68" t="s">
        <v>108</v>
      </c>
      <c r="C46" s="60" t="s">
        <v>102</v>
      </c>
      <c r="D46" s="61">
        <f>166/1.2</f>
        <v>138.33333333333334</v>
      </c>
      <c r="E46" s="62"/>
      <c r="F46" s="71"/>
      <c r="G46" s="71"/>
      <c r="H46" s="71"/>
      <c r="I46" s="62"/>
      <c r="J46" s="99">
        <v>138.33</v>
      </c>
      <c r="K46" s="94"/>
      <c r="L46" s="78"/>
      <c r="M46" s="78"/>
      <c r="N46" s="95"/>
      <c r="O46" s="96">
        <f t="shared" si="9"/>
        <v>138.33333333333334</v>
      </c>
      <c r="P46" s="96"/>
      <c r="Q46" s="96"/>
      <c r="R46" s="96"/>
      <c r="S46" s="69">
        <f t="shared" si="10"/>
        <v>138.33333333333334</v>
      </c>
      <c r="T46" s="71">
        <v>10.8</v>
      </c>
      <c r="U46" s="71"/>
      <c r="V46" s="71"/>
      <c r="W46" s="71"/>
      <c r="X46" s="62">
        <v>148.24</v>
      </c>
      <c r="Y46" s="55"/>
      <c r="Z46" s="55"/>
      <c r="AA46" s="55"/>
      <c r="AB46" s="56"/>
      <c r="AC46" s="56"/>
    </row>
    <row r="47" spans="1:29" s="57" customFormat="1" ht="12.75">
      <c r="A47" s="88" t="s">
        <v>109</v>
      </c>
      <c r="B47" s="77" t="s">
        <v>110</v>
      </c>
      <c r="C47" s="60"/>
      <c r="D47" s="61">
        <f>232.12/1.2</f>
        <v>193.43333333333334</v>
      </c>
      <c r="E47" s="62">
        <f>D47</f>
        <v>193.43333333333334</v>
      </c>
      <c r="F47" s="71"/>
      <c r="G47" s="71"/>
      <c r="H47" s="71"/>
      <c r="I47" s="62"/>
      <c r="J47" s="94"/>
      <c r="K47" s="94"/>
      <c r="L47" s="78"/>
      <c r="M47" s="78"/>
      <c r="N47" s="95"/>
      <c r="O47" s="96">
        <f t="shared" si="9"/>
        <v>193.43333333333334</v>
      </c>
      <c r="P47" s="96">
        <v>51</v>
      </c>
      <c r="Q47" s="96">
        <f>193.43-51</f>
        <v>142.43</v>
      </c>
      <c r="R47" s="96"/>
      <c r="S47" s="69">
        <f t="shared" si="10"/>
        <v>0.0033333333333303017</v>
      </c>
      <c r="T47" s="71"/>
      <c r="U47" s="71"/>
      <c r="V47" s="71"/>
      <c r="W47" s="71"/>
      <c r="X47" s="62">
        <v>0</v>
      </c>
      <c r="Y47" s="55"/>
      <c r="Z47" s="55"/>
      <c r="AA47" s="55"/>
      <c r="AB47" s="56"/>
      <c r="AC47" s="56"/>
    </row>
    <row r="48" spans="1:29" s="57" customFormat="1" ht="12.75">
      <c r="A48" s="88" t="s">
        <v>111</v>
      </c>
      <c r="B48" s="68" t="s">
        <v>112</v>
      </c>
      <c r="C48" s="60" t="s">
        <v>113</v>
      </c>
      <c r="D48" s="62">
        <f>208.027/1.2</f>
        <v>173.35583333333332</v>
      </c>
      <c r="E48" s="62"/>
      <c r="F48" s="71"/>
      <c r="G48" s="71"/>
      <c r="H48" s="71"/>
      <c r="I48" s="62"/>
      <c r="J48" s="99">
        <v>173.36</v>
      </c>
      <c r="K48" s="94"/>
      <c r="L48" s="78"/>
      <c r="M48" s="78"/>
      <c r="N48" s="95"/>
      <c r="O48" s="96">
        <f t="shared" si="9"/>
        <v>173.35583333333332</v>
      </c>
      <c r="P48" s="96"/>
      <c r="Q48" s="96"/>
      <c r="R48" s="96"/>
      <c r="S48" s="69">
        <f t="shared" si="10"/>
        <v>173.35583333333332</v>
      </c>
      <c r="T48" s="71"/>
      <c r="U48" s="71"/>
      <c r="V48" s="71"/>
      <c r="W48" s="71"/>
      <c r="X48" s="62">
        <v>0</v>
      </c>
      <c r="Y48" s="55"/>
      <c r="Z48" s="55"/>
      <c r="AA48" s="55"/>
      <c r="AB48" s="56"/>
      <c r="AC48" s="56"/>
    </row>
    <row r="49" spans="1:29" s="57" customFormat="1" ht="12.75">
      <c r="A49" s="88" t="s">
        <v>114</v>
      </c>
      <c r="B49" s="68" t="s">
        <v>115</v>
      </c>
      <c r="C49" s="60" t="s">
        <v>113</v>
      </c>
      <c r="D49" s="62">
        <f>126.11321/1.2</f>
        <v>105.09434166666666</v>
      </c>
      <c r="E49" s="62">
        <f aca="true" t="shared" si="13" ref="E49:E53">D49</f>
        <v>105.09434166666666</v>
      </c>
      <c r="F49" s="71"/>
      <c r="G49" s="71"/>
      <c r="H49" s="71"/>
      <c r="I49" s="71"/>
      <c r="J49" s="94"/>
      <c r="K49" s="94"/>
      <c r="L49" s="78"/>
      <c r="M49" s="78"/>
      <c r="N49" s="95"/>
      <c r="O49" s="96">
        <f t="shared" si="9"/>
        <v>105.09434166666666</v>
      </c>
      <c r="P49" s="96"/>
      <c r="Q49" s="96"/>
      <c r="R49" s="96">
        <v>105.09</v>
      </c>
      <c r="S49" s="69">
        <f t="shared" si="10"/>
        <v>0.004341666666661581</v>
      </c>
      <c r="T49" s="71"/>
      <c r="U49" s="71"/>
      <c r="V49" s="71"/>
      <c r="W49" s="71"/>
      <c r="X49" s="62">
        <v>0</v>
      </c>
      <c r="Y49" s="55"/>
      <c r="Z49" s="55"/>
      <c r="AA49" s="55"/>
      <c r="AB49" s="56"/>
      <c r="AC49" s="56"/>
    </row>
    <row r="50" spans="1:29" s="57" customFormat="1" ht="12.75">
      <c r="A50" s="88" t="s">
        <v>116</v>
      </c>
      <c r="B50" s="68" t="s">
        <v>117</v>
      </c>
      <c r="C50" s="60" t="s">
        <v>113</v>
      </c>
      <c r="D50" s="62">
        <f>132.146/1.2</f>
        <v>110.12166666666666</v>
      </c>
      <c r="E50" s="62">
        <f t="shared" si="13"/>
        <v>110.12166666666666</v>
      </c>
      <c r="F50" s="71"/>
      <c r="G50" s="71"/>
      <c r="H50" s="71"/>
      <c r="I50" s="71"/>
      <c r="J50" s="94"/>
      <c r="K50" s="94"/>
      <c r="L50" s="78"/>
      <c r="M50" s="78"/>
      <c r="N50" s="95"/>
      <c r="O50" s="96">
        <f t="shared" si="9"/>
        <v>110.12166666666666</v>
      </c>
      <c r="P50" s="96"/>
      <c r="Q50" s="96"/>
      <c r="R50" s="96">
        <v>110.12</v>
      </c>
      <c r="S50" s="69">
        <f t="shared" si="10"/>
        <v>0.00166666666665094</v>
      </c>
      <c r="T50" s="71"/>
      <c r="U50" s="71"/>
      <c r="V50" s="71"/>
      <c r="W50" s="71"/>
      <c r="X50" s="62">
        <v>0</v>
      </c>
      <c r="Y50" s="55"/>
      <c r="Z50" s="55"/>
      <c r="AA50" s="55"/>
      <c r="AB50" s="56"/>
      <c r="AC50" s="56"/>
    </row>
    <row r="51" spans="1:29" s="57" customFormat="1" ht="12.75">
      <c r="A51" s="88" t="s">
        <v>118</v>
      </c>
      <c r="B51" s="68" t="s">
        <v>119</v>
      </c>
      <c r="C51" s="60" t="s">
        <v>113</v>
      </c>
      <c r="D51" s="62">
        <f>220+30/1.2</f>
        <v>245</v>
      </c>
      <c r="E51" s="62">
        <f t="shared" si="13"/>
        <v>245</v>
      </c>
      <c r="F51" s="71"/>
      <c r="G51" s="71"/>
      <c r="H51" s="71"/>
      <c r="I51" s="71"/>
      <c r="J51" s="94"/>
      <c r="K51" s="94"/>
      <c r="L51" s="78"/>
      <c r="M51" s="78"/>
      <c r="N51" s="95"/>
      <c r="O51" s="96">
        <f t="shared" si="9"/>
        <v>245</v>
      </c>
      <c r="P51" s="96"/>
      <c r="Q51" s="96">
        <v>245</v>
      </c>
      <c r="R51" s="96"/>
      <c r="S51" s="69">
        <f t="shared" si="10"/>
        <v>0</v>
      </c>
      <c r="T51" s="71"/>
      <c r="U51" s="71"/>
      <c r="V51" s="71"/>
      <c r="W51" s="71"/>
      <c r="X51" s="62">
        <v>0</v>
      </c>
      <c r="Y51" s="55"/>
      <c r="Z51" s="55"/>
      <c r="AA51" s="55"/>
      <c r="AB51" s="56"/>
      <c r="AC51" s="56"/>
    </row>
    <row r="52" spans="1:29" s="57" customFormat="1" ht="12.75">
      <c r="A52" s="88" t="s">
        <v>120</v>
      </c>
      <c r="B52" s="68" t="s">
        <v>121</v>
      </c>
      <c r="C52" s="100"/>
      <c r="D52" s="62">
        <v>120</v>
      </c>
      <c r="E52" s="62">
        <f t="shared" si="13"/>
        <v>120</v>
      </c>
      <c r="F52" s="71"/>
      <c r="G52" s="71"/>
      <c r="H52" s="71"/>
      <c r="I52" s="71"/>
      <c r="J52" s="94"/>
      <c r="K52" s="94"/>
      <c r="L52" s="78"/>
      <c r="M52" s="78"/>
      <c r="N52" s="95"/>
      <c r="O52" s="96">
        <f t="shared" si="9"/>
        <v>120</v>
      </c>
      <c r="P52" s="96">
        <v>15</v>
      </c>
      <c r="Q52" s="96">
        <v>30</v>
      </c>
      <c r="R52" s="96">
        <v>30</v>
      </c>
      <c r="S52" s="69">
        <f t="shared" si="10"/>
        <v>45</v>
      </c>
      <c r="T52" s="71"/>
      <c r="U52" s="71"/>
      <c r="V52" s="71"/>
      <c r="W52" s="71"/>
      <c r="X52" s="62">
        <v>0</v>
      </c>
      <c r="Y52" s="55"/>
      <c r="Z52" s="55"/>
      <c r="AA52" s="55"/>
      <c r="AB52" s="56"/>
      <c r="AC52" s="56"/>
    </row>
    <row r="53" spans="1:29" s="57" customFormat="1" ht="12.75">
      <c r="A53" s="88" t="s">
        <v>122</v>
      </c>
      <c r="B53" s="68" t="s">
        <v>123</v>
      </c>
      <c r="C53" s="60" t="s">
        <v>113</v>
      </c>
      <c r="D53" s="101">
        <f>162.3-20</f>
        <v>142.3</v>
      </c>
      <c r="E53" s="62">
        <f t="shared" si="13"/>
        <v>142.3</v>
      </c>
      <c r="F53" s="71"/>
      <c r="G53" s="71"/>
      <c r="H53" s="71"/>
      <c r="I53" s="71"/>
      <c r="J53" s="94"/>
      <c r="K53" s="94"/>
      <c r="L53" s="78"/>
      <c r="M53" s="78"/>
      <c r="N53" s="95"/>
      <c r="O53" s="96">
        <f t="shared" si="9"/>
        <v>142.3</v>
      </c>
      <c r="P53" s="96"/>
      <c r="Q53" s="96">
        <v>100</v>
      </c>
      <c r="R53" s="96">
        <v>42.3</v>
      </c>
      <c r="S53" s="69">
        <f t="shared" si="10"/>
        <v>0</v>
      </c>
      <c r="T53" s="71"/>
      <c r="U53" s="71"/>
      <c r="V53" s="71"/>
      <c r="W53" s="71"/>
      <c r="X53" s="62">
        <v>0</v>
      </c>
      <c r="Y53" s="55"/>
      <c r="Z53" s="55"/>
      <c r="AA53" s="55"/>
      <c r="AB53" s="56"/>
      <c r="AC53" s="56"/>
    </row>
    <row r="54" spans="1:29" s="57" customFormat="1" ht="12.75">
      <c r="A54" s="72" t="s">
        <v>124</v>
      </c>
      <c r="B54" s="72"/>
      <c r="C54" s="72"/>
      <c r="D54" s="73">
        <f>SUM(D38:D53)</f>
        <v>2747.910175</v>
      </c>
      <c r="E54" s="73">
        <f>SUM(E38:E53)</f>
        <v>2369.554341666667</v>
      </c>
      <c r="F54" s="102">
        <f>SUM(F38:F53)</f>
        <v>0</v>
      </c>
      <c r="G54" s="73">
        <f>SUM(G38:G53)</f>
        <v>0</v>
      </c>
      <c r="H54" s="73">
        <f>SUM(H38:H53)</f>
        <v>0</v>
      </c>
      <c r="I54" s="73">
        <f>SUM(I38:I53)</f>
        <v>0</v>
      </c>
      <c r="J54" s="73">
        <f>SUM(J38:J53)</f>
        <v>378.36000000000007</v>
      </c>
      <c r="K54" s="73">
        <f>SUM(K38:K53)</f>
        <v>0</v>
      </c>
      <c r="L54" s="73">
        <f>SUM(L38:L53)</f>
        <v>0</v>
      </c>
      <c r="M54" s="73">
        <f>SUM(M38:M53)</f>
        <v>0</v>
      </c>
      <c r="N54" s="73">
        <f>SUM(N38:N53)</f>
        <v>0</v>
      </c>
      <c r="O54" s="73">
        <f>SUM(O38:O53)</f>
        <v>2747.910175</v>
      </c>
      <c r="P54" s="73">
        <f>SUM(P38:P53)</f>
        <v>502.25</v>
      </c>
      <c r="Q54" s="73">
        <f>SUM(Q38:Q53)</f>
        <v>824.1300000000001</v>
      </c>
      <c r="R54" s="73">
        <f>SUM(R38:R53)</f>
        <v>952.51</v>
      </c>
      <c r="S54" s="73">
        <f>SUM(S38:S53)</f>
        <v>469.02017500000005</v>
      </c>
      <c r="T54" s="73">
        <f>SUM(T38:T53)</f>
        <v>205.20000000000002</v>
      </c>
      <c r="U54" s="73"/>
      <c r="V54" s="73">
        <f>SUM(V38:V53)</f>
        <v>0</v>
      </c>
      <c r="W54" s="73">
        <f>SUM(W38:W53)</f>
        <v>39.69</v>
      </c>
      <c r="X54" s="73">
        <f>SUM(X38:X53)</f>
        <v>1350.54</v>
      </c>
      <c r="Y54" s="44"/>
      <c r="Z54" s="55"/>
      <c r="AA54" s="55"/>
      <c r="AB54" s="56"/>
      <c r="AC54" s="56"/>
    </row>
    <row r="55" spans="1:29" s="57" customFormat="1" ht="12.75">
      <c r="A55" s="72" t="s">
        <v>125</v>
      </c>
      <c r="B55" s="72"/>
      <c r="C55" s="72"/>
      <c r="D55" s="103">
        <f>D54+D36+D32+D30+D25</f>
        <v>7016.063174999999</v>
      </c>
      <c r="E55" s="103">
        <f>E54+E36+E32+E30+E25</f>
        <v>5956.104341666667</v>
      </c>
      <c r="F55" s="103">
        <f>F54+F36+F32+F30+F25</f>
        <v>0</v>
      </c>
      <c r="G55" s="103">
        <f>G54+G36+G32+G30+G25</f>
        <v>0</v>
      </c>
      <c r="H55" s="103">
        <f>H54+H36+H32+H30+H25</f>
        <v>0</v>
      </c>
      <c r="I55" s="103">
        <f>I54+I36+I32+I30+I25</f>
        <v>0</v>
      </c>
      <c r="J55" s="103">
        <f>J54+J36+J32+J30+J25</f>
        <v>1059.96</v>
      </c>
      <c r="K55" s="103">
        <f>K54+K36+K32+K30+K25</f>
        <v>0</v>
      </c>
      <c r="L55" s="103">
        <f>L54+L36+L32+L30+L25</f>
        <v>0</v>
      </c>
      <c r="M55" s="103">
        <f>M54+M36+M32+M30+M25</f>
        <v>0</v>
      </c>
      <c r="N55" s="103">
        <f>N54+N36+N32+N30+N25</f>
        <v>0</v>
      </c>
      <c r="O55" s="103">
        <f>O54+O36+O32+O30+O25</f>
        <v>7016.063174999999</v>
      </c>
      <c r="P55" s="103">
        <f>P54+P36+P32+P30+P25</f>
        <v>502.25</v>
      </c>
      <c r="Q55" s="103">
        <f>Q54+Q36+Q32+Q30+Q25</f>
        <v>2665.8</v>
      </c>
      <c r="R55" s="103">
        <f>R54+R36+R32+R30+R25</f>
        <v>2326.01</v>
      </c>
      <c r="S55" s="103">
        <f>S54+S36+S32+S30+S25</f>
        <v>1522.0031750000003</v>
      </c>
      <c r="T55" s="103">
        <f>T54+T36+T32+T30+T25</f>
        <v>1129.2</v>
      </c>
      <c r="U55" s="103"/>
      <c r="V55" s="104">
        <f>V54+V36+V32+V30+V25</f>
        <v>215569</v>
      </c>
      <c r="W55" s="103">
        <f>W54+W36+W32+W30+W25</f>
        <v>39.69</v>
      </c>
      <c r="X55" s="103">
        <f>X54+X36+X32+X30+X25</f>
        <v>3066.3</v>
      </c>
      <c r="Y55" s="55"/>
      <c r="Z55" s="55"/>
      <c r="AA55" s="55"/>
      <c r="AB55" s="56"/>
      <c r="AC55" s="56"/>
    </row>
    <row r="56" spans="1:29" s="57" customFormat="1" ht="12.75">
      <c r="A56" s="72" t="s">
        <v>126</v>
      </c>
      <c r="B56" s="72"/>
      <c r="C56" s="72"/>
      <c r="D56" s="105">
        <f>D55</f>
        <v>7016.063174999999</v>
      </c>
      <c r="E56" s="105">
        <f>E55</f>
        <v>5956.104341666667</v>
      </c>
      <c r="F56" s="105">
        <f>F55</f>
        <v>0</v>
      </c>
      <c r="G56" s="105">
        <f>G55</f>
        <v>0</v>
      </c>
      <c r="H56" s="105">
        <f>H55</f>
        <v>0</v>
      </c>
      <c r="I56" s="105">
        <f>I55</f>
        <v>0</v>
      </c>
      <c r="J56" s="105">
        <f>J55</f>
        <v>1059.96</v>
      </c>
      <c r="K56" s="105">
        <f>K55</f>
        <v>0</v>
      </c>
      <c r="L56" s="105">
        <f>L55</f>
        <v>0</v>
      </c>
      <c r="M56" s="105">
        <f>M55</f>
        <v>0</v>
      </c>
      <c r="N56" s="105">
        <f>N55</f>
        <v>0</v>
      </c>
      <c r="O56" s="105">
        <f>O55</f>
        <v>7016.063174999999</v>
      </c>
      <c r="P56" s="105">
        <f>P55</f>
        <v>502.25</v>
      </c>
      <c r="Q56" s="105">
        <f>Q55</f>
        <v>2665.8</v>
      </c>
      <c r="R56" s="105">
        <f>R55</f>
        <v>2326.01</v>
      </c>
      <c r="S56" s="105">
        <f>S55</f>
        <v>1522.0031750000003</v>
      </c>
      <c r="T56" s="105">
        <f>T55</f>
        <v>1129.2</v>
      </c>
      <c r="U56" s="105"/>
      <c r="V56" s="106">
        <f>V55</f>
        <v>215569</v>
      </c>
      <c r="W56" s="105">
        <f>W55</f>
        <v>39.69</v>
      </c>
      <c r="X56" s="105">
        <f>X55</f>
        <v>3066.3</v>
      </c>
      <c r="Y56" s="55"/>
      <c r="Z56" s="55"/>
      <c r="AA56" s="55"/>
      <c r="AB56" s="56"/>
      <c r="AC56" s="56"/>
    </row>
    <row r="57" spans="1:29" s="57" customFormat="1" ht="12.75">
      <c r="A57" s="107" t="s">
        <v>127</v>
      </c>
      <c r="B57" s="108"/>
      <c r="C57" s="72" t="s">
        <v>128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55"/>
      <c r="Z57" s="55"/>
      <c r="AA57" s="55"/>
      <c r="AB57" s="56"/>
      <c r="AC57" s="56"/>
    </row>
    <row r="58" spans="1:29" s="57" customFormat="1" ht="12.75">
      <c r="A58" s="52" t="s">
        <v>129</v>
      </c>
      <c r="B58" s="80" t="s">
        <v>130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>
        <v>0</v>
      </c>
      <c r="U58" s="80"/>
      <c r="V58" s="80"/>
      <c r="W58" s="80"/>
      <c r="X58" s="80"/>
      <c r="Y58" s="56"/>
      <c r="Z58" s="56"/>
      <c r="AA58" s="56"/>
      <c r="AB58" s="56"/>
      <c r="AC58" s="56"/>
    </row>
    <row r="59" spans="1:29" s="57" customFormat="1" ht="12.75" customHeight="1">
      <c r="A59" s="52" t="s">
        <v>131</v>
      </c>
      <c r="B59" s="58" t="s">
        <v>132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 t="e">
        <f>#REF!+#REF!+#REF!+#REF!</f>
        <v>#REF!</v>
      </c>
      <c r="U59" s="58"/>
      <c r="V59" s="58" t="e">
        <f>#REF!+#REF!+#REF!+#REF!</f>
        <v>#REF!</v>
      </c>
      <c r="W59" s="58" t="e">
        <f>#REF!+#REF!+#REF!+#REF!</f>
        <v>#REF!</v>
      </c>
      <c r="X59" s="58" t="e">
        <f>#REF!+#REF!+#REF!+#REF!</f>
        <v>#REF!</v>
      </c>
      <c r="Y59" s="56"/>
      <c r="Z59" s="56"/>
      <c r="AA59" s="56"/>
      <c r="AB59" s="56"/>
      <c r="AC59" s="56"/>
    </row>
    <row r="60" spans="1:29" s="57" customFormat="1" ht="12.75">
      <c r="A60" s="52" t="s">
        <v>133</v>
      </c>
      <c r="B60" s="68" t="s">
        <v>134</v>
      </c>
      <c r="C60" s="109" t="s">
        <v>69</v>
      </c>
      <c r="D60" s="61">
        <f>240.251/1.2</f>
        <v>200.20916666666668</v>
      </c>
      <c r="E60" s="93">
        <f>D60</f>
        <v>200.20916666666668</v>
      </c>
      <c r="F60" s="110"/>
      <c r="G60" s="111"/>
      <c r="H60" s="111"/>
      <c r="I60" s="111"/>
      <c r="J60" s="111"/>
      <c r="K60" s="111"/>
      <c r="L60" s="89"/>
      <c r="M60" s="89"/>
      <c r="N60" s="112"/>
      <c r="O60" s="69">
        <f>D60</f>
        <v>200.20916666666668</v>
      </c>
      <c r="P60" s="69">
        <v>200.21</v>
      </c>
      <c r="Q60" s="113"/>
      <c r="R60" s="113"/>
      <c r="S60" s="69">
        <f>O60-P60-Q60-R60</f>
        <v>-0.0008333333333325754</v>
      </c>
      <c r="T60" s="71">
        <v>4.8</v>
      </c>
      <c r="U60" s="71"/>
      <c r="V60" s="71"/>
      <c r="W60" s="71"/>
      <c r="X60" s="62">
        <v>451</v>
      </c>
      <c r="Y60" s="56"/>
      <c r="Z60" s="56"/>
      <c r="AA60" s="56"/>
      <c r="AB60" s="56"/>
      <c r="AC60" s="56"/>
    </row>
    <row r="61" spans="1:29" s="57" customFormat="1" ht="12.75">
      <c r="A61" s="72" t="s">
        <v>135</v>
      </c>
      <c r="B61" s="72"/>
      <c r="C61" s="72"/>
      <c r="D61" s="114">
        <f>SUM(D60)</f>
        <v>200.20916666666668</v>
      </c>
      <c r="E61" s="114">
        <f>SUM(E60)</f>
        <v>200.20916666666668</v>
      </c>
      <c r="F61" s="114">
        <f>SUM(F60)</f>
        <v>0</v>
      </c>
      <c r="G61" s="114">
        <f>SUM(G60)</f>
        <v>0</v>
      </c>
      <c r="H61" s="114">
        <f>SUM(H60)</f>
        <v>0</v>
      </c>
      <c r="I61" s="114">
        <f>SUM(I60)</f>
        <v>0</v>
      </c>
      <c r="J61" s="114">
        <f>SUM(J60)</f>
        <v>0</v>
      </c>
      <c r="K61" s="114">
        <f>SUM(K60)</f>
        <v>0</v>
      </c>
      <c r="L61" s="114">
        <f>SUM(L60)</f>
        <v>0</v>
      </c>
      <c r="M61" s="114">
        <f>SUM(M60)</f>
        <v>0</v>
      </c>
      <c r="N61" s="114">
        <f>SUM(N60)</f>
        <v>0</v>
      </c>
      <c r="O61" s="114">
        <f>SUM(O60)</f>
        <v>200.20916666666668</v>
      </c>
      <c r="P61" s="114">
        <f>SUM(P60)</f>
        <v>200.21</v>
      </c>
      <c r="Q61" s="114">
        <f>SUM(Q60)</f>
        <v>0</v>
      </c>
      <c r="R61" s="114">
        <f>SUM(R60)</f>
        <v>0</v>
      </c>
      <c r="S61" s="114">
        <f>SUM(S60)</f>
        <v>-0.0008333333333325754</v>
      </c>
      <c r="T61" s="114">
        <f>SUM(T60)</f>
        <v>4.8</v>
      </c>
      <c r="U61" s="114"/>
      <c r="V61" s="114">
        <f>SUM(V60)</f>
        <v>0</v>
      </c>
      <c r="W61" s="114">
        <f>SUM(W60)</f>
        <v>0</v>
      </c>
      <c r="X61" s="114">
        <f>SUM(X60)</f>
        <v>451</v>
      </c>
      <c r="Y61" s="44"/>
      <c r="Z61" s="56"/>
      <c r="AA61" s="56"/>
      <c r="AB61" s="56"/>
      <c r="AC61" s="56"/>
    </row>
    <row r="62" spans="1:29" s="57" customFormat="1" ht="12.75" customHeight="1">
      <c r="A62" s="75" t="s">
        <v>136</v>
      </c>
      <c r="B62" s="58" t="s">
        <v>63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44"/>
      <c r="Z62" s="56"/>
      <c r="AA62" s="56"/>
      <c r="AB62" s="56"/>
      <c r="AC62" s="56"/>
    </row>
    <row r="63" spans="1:29" s="57" customFormat="1" ht="12.75">
      <c r="A63" s="52" t="s">
        <v>137</v>
      </c>
      <c r="B63" s="115"/>
      <c r="C63" s="115"/>
      <c r="D63" s="116"/>
      <c r="E63" s="117">
        <f>D63</f>
        <v>0</v>
      </c>
      <c r="F63" s="110"/>
      <c r="G63" s="117"/>
      <c r="H63" s="117"/>
      <c r="I63" s="117"/>
      <c r="J63" s="117"/>
      <c r="K63" s="117"/>
      <c r="L63" s="116"/>
      <c r="M63" s="116"/>
      <c r="N63" s="118"/>
      <c r="O63" s="119"/>
      <c r="P63" s="119"/>
      <c r="Q63" s="120"/>
      <c r="R63" s="120"/>
      <c r="S63" s="121"/>
      <c r="T63" s="122"/>
      <c r="U63" s="122"/>
      <c r="V63" s="122"/>
      <c r="W63" s="122"/>
      <c r="X63" s="122"/>
      <c r="Y63" s="44"/>
      <c r="Z63" s="56"/>
      <c r="AA63" s="56"/>
      <c r="AB63" s="56"/>
      <c r="AC63" s="56"/>
    </row>
    <row r="64" spans="1:29" s="57" customFormat="1" ht="12.75">
      <c r="A64" s="72" t="s">
        <v>138</v>
      </c>
      <c r="B64" s="72"/>
      <c r="C64" s="72"/>
      <c r="D64" s="123">
        <f>SUM(D63)</f>
        <v>0</v>
      </c>
      <c r="E64" s="123">
        <f>SUM(E63)</f>
        <v>0</v>
      </c>
      <c r="F64" s="124">
        <f>SUM(F63)</f>
        <v>0</v>
      </c>
      <c r="G64" s="123">
        <f>SUM(G63)</f>
        <v>0</v>
      </c>
      <c r="H64" s="123">
        <f>SUM(H63)</f>
        <v>0</v>
      </c>
      <c r="I64" s="123">
        <f>SUM(I63)</f>
        <v>0</v>
      </c>
      <c r="J64" s="123">
        <f>SUM(J63)</f>
        <v>0</v>
      </c>
      <c r="K64" s="123">
        <f>SUM(K63)</f>
        <v>0</v>
      </c>
      <c r="L64" s="123">
        <f>SUM(L63)</f>
        <v>0</v>
      </c>
      <c r="M64" s="123">
        <f>SUM(M63)</f>
        <v>0</v>
      </c>
      <c r="N64" s="123">
        <f>SUM(N63)</f>
        <v>0</v>
      </c>
      <c r="O64" s="123">
        <f>SUM(O63)</f>
        <v>0</v>
      </c>
      <c r="P64" s="123">
        <f>SUM(P63)</f>
        <v>0</v>
      </c>
      <c r="Q64" s="123">
        <f>SUM(Q63)</f>
        <v>0</v>
      </c>
      <c r="R64" s="123">
        <f>SUM(R63)</f>
        <v>0</v>
      </c>
      <c r="S64" s="123">
        <f>SUM(S63)</f>
        <v>0</v>
      </c>
      <c r="T64" s="125">
        <v>0</v>
      </c>
      <c r="U64" s="125"/>
      <c r="V64" s="125">
        <v>0</v>
      </c>
      <c r="W64" s="125">
        <v>0</v>
      </c>
      <c r="X64" s="125">
        <v>0</v>
      </c>
      <c r="Y64" s="44"/>
      <c r="Z64" s="56"/>
      <c r="AA64" s="56"/>
      <c r="AB64" s="56"/>
      <c r="AC64" s="56"/>
    </row>
    <row r="65" spans="1:29" s="57" customFormat="1" ht="12.75">
      <c r="A65" s="52" t="s">
        <v>139</v>
      </c>
      <c r="B65" s="80" t="s">
        <v>77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4"/>
      <c r="Z65" s="56"/>
      <c r="AA65" s="56"/>
      <c r="AB65" s="56"/>
      <c r="AC65" s="56"/>
    </row>
    <row r="66" spans="1:29" s="57" customFormat="1" ht="12.75">
      <c r="A66" s="52"/>
      <c r="B66" s="115"/>
      <c r="C66" s="126"/>
      <c r="D66" s="127"/>
      <c r="E66" s="127">
        <f>D66</f>
        <v>0</v>
      </c>
      <c r="F66" s="89"/>
      <c r="G66" s="89"/>
      <c r="H66" s="89"/>
      <c r="I66" s="89"/>
      <c r="J66" s="89"/>
      <c r="K66" s="111"/>
      <c r="L66" s="89"/>
      <c r="M66" s="89"/>
      <c r="N66" s="128"/>
      <c r="O66" s="119"/>
      <c r="P66" s="128"/>
      <c r="Q66" s="89"/>
      <c r="R66" s="89"/>
      <c r="S66" s="116"/>
      <c r="T66" s="129"/>
      <c r="U66" s="129"/>
      <c r="V66" s="129"/>
      <c r="W66" s="129"/>
      <c r="X66" s="129"/>
      <c r="Y66" s="44"/>
      <c r="Z66" s="56"/>
      <c r="AA66" s="56"/>
      <c r="AB66" s="56"/>
      <c r="AC66" s="56"/>
    </row>
    <row r="67" spans="1:29" s="57" customFormat="1" ht="12.75">
      <c r="A67" s="72" t="s">
        <v>140</v>
      </c>
      <c r="B67" s="72"/>
      <c r="C67" s="72"/>
      <c r="D67" s="114">
        <f>SUM(D66)</f>
        <v>0</v>
      </c>
      <c r="E67" s="114">
        <f>SUM(E66)</f>
        <v>0</v>
      </c>
      <c r="F67" s="114">
        <f>SUM(F66)</f>
        <v>0</v>
      </c>
      <c r="G67" s="114">
        <f>SUM(G66)</f>
        <v>0</v>
      </c>
      <c r="H67" s="114">
        <f>SUM(H66)</f>
        <v>0</v>
      </c>
      <c r="I67" s="114">
        <f>SUM(I66)</f>
        <v>0</v>
      </c>
      <c r="J67" s="114">
        <f>SUM(J66)</f>
        <v>0</v>
      </c>
      <c r="K67" s="114">
        <f>SUM(K66)</f>
        <v>0</v>
      </c>
      <c r="L67" s="114">
        <f>SUM(L66)</f>
        <v>0</v>
      </c>
      <c r="M67" s="114">
        <f>SUM(M66)</f>
        <v>0</v>
      </c>
      <c r="N67" s="114">
        <f>SUM(N66)</f>
        <v>0</v>
      </c>
      <c r="O67" s="114">
        <f>SUM(O66)</f>
        <v>0</v>
      </c>
      <c r="P67" s="114">
        <f>SUM(P66)</f>
        <v>0</v>
      </c>
      <c r="Q67" s="114">
        <f>SUM(Q66)</f>
        <v>0</v>
      </c>
      <c r="R67" s="114">
        <f>SUM(R66)</f>
        <v>0</v>
      </c>
      <c r="S67" s="114">
        <f>SUM(S66)</f>
        <v>0</v>
      </c>
      <c r="T67" s="86">
        <f>SUM(T66)</f>
        <v>0</v>
      </c>
      <c r="U67" s="86"/>
      <c r="V67" s="86">
        <f>SUM(V66)</f>
        <v>0</v>
      </c>
      <c r="W67" s="86">
        <f>SUM(W66)</f>
        <v>0</v>
      </c>
      <c r="X67" s="87">
        <f>SUM(X65:X65)</f>
        <v>0</v>
      </c>
      <c r="Y67" s="44"/>
      <c r="Z67" s="56"/>
      <c r="AA67" s="56"/>
      <c r="AB67" s="56"/>
      <c r="AC67" s="56"/>
    </row>
    <row r="68" spans="1:29" s="57" customFormat="1" ht="12.75">
      <c r="A68" s="130" t="s">
        <v>141</v>
      </c>
      <c r="B68" s="131" t="s">
        <v>142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44"/>
      <c r="Z68" s="44"/>
      <c r="AA68" s="44"/>
      <c r="AB68" s="56"/>
      <c r="AC68" s="56"/>
    </row>
    <row r="69" spans="1:29" s="57" customFormat="1" ht="12.75">
      <c r="A69" s="131"/>
      <c r="B69" s="115"/>
      <c r="C69" s="132"/>
      <c r="D69" s="116"/>
      <c r="E69" s="133">
        <f>D69</f>
        <v>0</v>
      </c>
      <c r="F69" s="127"/>
      <c r="G69" s="134"/>
      <c r="H69" s="135"/>
      <c r="I69" s="135"/>
      <c r="J69" s="135"/>
      <c r="K69" s="136"/>
      <c r="L69" s="136"/>
      <c r="M69" s="136"/>
      <c r="N69" s="119">
        <f>E69</f>
        <v>0</v>
      </c>
      <c r="O69" s="119"/>
      <c r="P69" s="135"/>
      <c r="Q69" s="135"/>
      <c r="R69" s="135"/>
      <c r="S69" s="137"/>
      <c r="T69" s="90">
        <f>SUM(T68:T68)</f>
        <v>0</v>
      </c>
      <c r="U69" s="90"/>
      <c r="V69" s="90">
        <f>SUM(V68:V68)</f>
        <v>0</v>
      </c>
      <c r="W69" s="90">
        <f>SUM(W68:W68)</f>
        <v>0</v>
      </c>
      <c r="X69" s="90">
        <f>SUM(X68:X68)</f>
        <v>0</v>
      </c>
      <c r="Y69" s="44"/>
      <c r="Z69" s="44"/>
      <c r="AA69" s="44"/>
      <c r="AB69" s="56"/>
      <c r="AC69" s="56"/>
    </row>
    <row r="70" spans="1:29" s="57" customFormat="1" ht="12.75">
      <c r="A70" s="72" t="s">
        <v>143</v>
      </c>
      <c r="B70" s="72"/>
      <c r="C70" s="72"/>
      <c r="D70" s="114">
        <f>SUM(D69)</f>
        <v>0</v>
      </c>
      <c r="E70" s="114">
        <f>SUM(E69)</f>
        <v>0</v>
      </c>
      <c r="F70" s="83">
        <f>SUM(F69)</f>
        <v>0</v>
      </c>
      <c r="G70" s="114">
        <f>SUM(G69)</f>
        <v>0</v>
      </c>
      <c r="H70" s="114">
        <f>SUM(H69)</f>
        <v>0</v>
      </c>
      <c r="I70" s="114">
        <f>SUM(I69)</f>
        <v>0</v>
      </c>
      <c r="J70" s="114">
        <f>SUM(J69)</f>
        <v>0</v>
      </c>
      <c r="K70" s="114">
        <f>SUM(K69)</f>
        <v>0</v>
      </c>
      <c r="L70" s="114">
        <f>SUM(L69)</f>
        <v>0</v>
      </c>
      <c r="M70" s="114">
        <f>SUM(M69)</f>
        <v>0</v>
      </c>
      <c r="N70" s="114">
        <f>SUM(N69)</f>
        <v>0</v>
      </c>
      <c r="O70" s="114">
        <f>SUM(O69)</f>
        <v>0</v>
      </c>
      <c r="P70" s="114">
        <f>SUM(P69)</f>
        <v>0</v>
      </c>
      <c r="Q70" s="114">
        <f>SUM(Q69)</f>
        <v>0</v>
      </c>
      <c r="R70" s="114">
        <f>SUM(R69)</f>
        <v>0</v>
      </c>
      <c r="S70" s="114">
        <f>SUM(S69)</f>
        <v>0</v>
      </c>
      <c r="T70" s="138"/>
      <c r="U70" s="138"/>
      <c r="V70" s="138"/>
      <c r="W70" s="138"/>
      <c r="X70" s="138"/>
      <c r="Y70" s="44"/>
      <c r="Z70" s="56"/>
      <c r="AA70" s="56"/>
      <c r="AB70" s="56"/>
      <c r="AC70" s="56"/>
    </row>
    <row r="71" spans="1:29" s="57" customFormat="1" ht="12.75">
      <c r="A71" s="76" t="s">
        <v>144</v>
      </c>
      <c r="B71" s="80" t="s">
        <v>145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>
        <v>16.8</v>
      </c>
      <c r="U71" s="80"/>
      <c r="V71" s="80">
        <v>728080</v>
      </c>
      <c r="W71" s="80"/>
      <c r="X71" s="80">
        <v>3695.833</v>
      </c>
      <c r="Y71" s="44"/>
      <c r="Z71" s="56"/>
      <c r="AA71" s="56"/>
      <c r="AB71" s="56"/>
      <c r="AC71" s="56"/>
    </row>
    <row r="72" spans="1:29" s="57" customFormat="1" ht="12.75">
      <c r="A72" s="88" t="s">
        <v>146</v>
      </c>
      <c r="B72" s="139" t="s">
        <v>147</v>
      </c>
      <c r="C72" s="140" t="s">
        <v>148</v>
      </c>
      <c r="D72" s="61">
        <f>4464.382</f>
        <v>4464.382</v>
      </c>
      <c r="E72" s="61">
        <f>D72</f>
        <v>4464.382</v>
      </c>
      <c r="F72" s="62"/>
      <c r="G72" s="62"/>
      <c r="H72" s="62"/>
      <c r="I72" s="62"/>
      <c r="J72" s="141"/>
      <c r="K72" s="117"/>
      <c r="L72" s="117"/>
      <c r="M72" s="117"/>
      <c r="N72" s="89"/>
      <c r="O72" s="142">
        <f aca="true" t="shared" si="14" ref="O72:O74">D72</f>
        <v>4464.382</v>
      </c>
      <c r="P72" s="142"/>
      <c r="Q72" s="142"/>
      <c r="R72" s="142">
        <v>2232</v>
      </c>
      <c r="S72" s="69">
        <f aca="true" t="shared" si="15" ref="S72:S74">O72-P72-Q72-R72</f>
        <v>2232.3819999999996</v>
      </c>
      <c r="T72" s="62">
        <v>66</v>
      </c>
      <c r="U72" s="62"/>
      <c r="V72" s="143"/>
      <c r="W72" s="62"/>
      <c r="X72" s="62">
        <v>808.37</v>
      </c>
      <c r="Y72" s="44"/>
      <c r="Z72" s="56"/>
      <c r="AA72" s="56"/>
      <c r="AB72" s="56"/>
      <c r="AC72" s="56"/>
    </row>
    <row r="73" spans="1:29" s="57" customFormat="1" ht="12.75">
      <c r="A73" s="88" t="s">
        <v>149</v>
      </c>
      <c r="B73" s="139" t="s">
        <v>150</v>
      </c>
      <c r="C73" s="109" t="s">
        <v>151</v>
      </c>
      <c r="D73" s="61">
        <f>2608/1.2</f>
        <v>2173.3333333333335</v>
      </c>
      <c r="E73" s="61">
        <v>0</v>
      </c>
      <c r="F73" s="62"/>
      <c r="G73" s="62"/>
      <c r="H73" s="62"/>
      <c r="I73" s="62"/>
      <c r="J73" s="61">
        <f>2608/1.2</f>
        <v>2173.3333333333335</v>
      </c>
      <c r="K73" s="117"/>
      <c r="L73" s="117"/>
      <c r="M73" s="117"/>
      <c r="N73" s="89"/>
      <c r="O73" s="142">
        <f t="shared" si="14"/>
        <v>2173.3333333333335</v>
      </c>
      <c r="P73" s="142"/>
      <c r="Q73" s="142"/>
      <c r="R73" s="142"/>
      <c r="S73" s="69">
        <f t="shared" si="15"/>
        <v>2173.3333333333335</v>
      </c>
      <c r="T73" s="62">
        <v>8.4</v>
      </c>
      <c r="U73" s="62"/>
      <c r="V73" s="143"/>
      <c r="W73" s="62"/>
      <c r="X73" s="62">
        <v>3000</v>
      </c>
      <c r="Y73" s="44"/>
      <c r="Z73" s="56"/>
      <c r="AA73" s="56"/>
      <c r="AB73" s="56"/>
      <c r="AC73" s="56"/>
    </row>
    <row r="74" spans="1:29" s="57" customFormat="1" ht="12.75">
      <c r="A74" s="88" t="s">
        <v>152</v>
      </c>
      <c r="B74" s="68" t="s">
        <v>153</v>
      </c>
      <c r="C74" s="109" t="s">
        <v>154</v>
      </c>
      <c r="D74" s="61">
        <f>3200/1.2</f>
        <v>2666.666666666667</v>
      </c>
      <c r="E74" s="61">
        <v>0</v>
      </c>
      <c r="F74" s="62"/>
      <c r="G74" s="62"/>
      <c r="H74" s="62"/>
      <c r="I74" s="62"/>
      <c r="J74" s="61">
        <f>3200/1.2</f>
        <v>2666.666666666667</v>
      </c>
      <c r="K74" s="117"/>
      <c r="L74" s="117"/>
      <c r="M74" s="117"/>
      <c r="N74" s="89"/>
      <c r="O74" s="142">
        <f t="shared" si="14"/>
        <v>2666.666666666667</v>
      </c>
      <c r="P74" s="142"/>
      <c r="Q74" s="142"/>
      <c r="R74" s="142">
        <v>1300</v>
      </c>
      <c r="S74" s="69">
        <f t="shared" si="15"/>
        <v>1366.666666666667</v>
      </c>
      <c r="T74" s="62">
        <v>138</v>
      </c>
      <c r="U74" s="62"/>
      <c r="V74" s="143">
        <v>145718</v>
      </c>
      <c r="W74" s="62"/>
      <c r="X74" s="62">
        <v>1006.91</v>
      </c>
      <c r="Y74" s="44"/>
      <c r="Z74" s="56"/>
      <c r="AA74" s="56"/>
      <c r="AB74" s="56"/>
      <c r="AC74" s="56"/>
    </row>
    <row r="75" spans="1:29" s="57" customFormat="1" ht="12.75">
      <c r="A75" s="72" t="s">
        <v>155</v>
      </c>
      <c r="B75" s="72"/>
      <c r="C75" s="72"/>
      <c r="D75" s="114">
        <f>SUM(D72:D74)</f>
        <v>9304.382</v>
      </c>
      <c r="E75" s="114">
        <f>SUM(E72:E74)</f>
        <v>4464.382</v>
      </c>
      <c r="F75" s="83">
        <f>SUM(F72:F74)</f>
        <v>0</v>
      </c>
      <c r="G75" s="114">
        <f>SUM(G72:G74)</f>
        <v>0</v>
      </c>
      <c r="H75" s="114">
        <f>SUM(H72:H74)</f>
        <v>0</v>
      </c>
      <c r="I75" s="114">
        <f>SUM(I72:I74)</f>
        <v>0</v>
      </c>
      <c r="J75" s="114">
        <f>SUM(J72:J74)</f>
        <v>4840</v>
      </c>
      <c r="K75" s="114">
        <f>SUM(K72:K74)</f>
        <v>0</v>
      </c>
      <c r="L75" s="114">
        <f>SUM(L72:L74)</f>
        <v>0</v>
      </c>
      <c r="M75" s="114">
        <f>SUM(M72:M74)</f>
        <v>0</v>
      </c>
      <c r="N75" s="114">
        <f>SUM(N72:N74)</f>
        <v>0</v>
      </c>
      <c r="O75" s="114">
        <f>SUM(O72:O74)</f>
        <v>9304.382</v>
      </c>
      <c r="P75" s="114">
        <f>SUM(P72:P74)</f>
        <v>0</v>
      </c>
      <c r="Q75" s="114">
        <f>SUM(Q72:Q74)</f>
        <v>0</v>
      </c>
      <c r="R75" s="114">
        <f>SUM(R72:R74)</f>
        <v>3532</v>
      </c>
      <c r="S75" s="114">
        <f>SUM(S72:S74)</f>
        <v>5772.382</v>
      </c>
      <c r="T75" s="114">
        <f>SUM(T72:T74)</f>
        <v>212.4</v>
      </c>
      <c r="U75" s="114"/>
      <c r="V75" s="144">
        <f>SUM(V72:V74)</f>
        <v>145718</v>
      </c>
      <c r="W75" s="114">
        <f>SUM(W72:W74)</f>
        <v>0</v>
      </c>
      <c r="X75" s="114">
        <f>SUM(X72:X74)</f>
        <v>4815.28</v>
      </c>
      <c r="Y75" s="44"/>
      <c r="Z75" s="56"/>
      <c r="AA75" s="56"/>
      <c r="AB75" s="56"/>
      <c r="AC75" s="56"/>
    </row>
    <row r="76" spans="1:29" s="57" customFormat="1" ht="12.75">
      <c r="A76" s="76" t="s">
        <v>156</v>
      </c>
      <c r="B76" s="80" t="s">
        <v>85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>
        <v>0</v>
      </c>
      <c r="Y76" s="44"/>
      <c r="Z76" s="56"/>
      <c r="AA76" s="56"/>
      <c r="AB76" s="56"/>
      <c r="AC76" s="56"/>
    </row>
    <row r="77" spans="1:29" s="57" customFormat="1" ht="12.75">
      <c r="A77" s="88" t="s">
        <v>157</v>
      </c>
      <c r="B77" s="77" t="s">
        <v>158</v>
      </c>
      <c r="C77" s="109" t="s">
        <v>113</v>
      </c>
      <c r="D77" s="61">
        <f>(123.555+12)/1.2</f>
        <v>112.9625</v>
      </c>
      <c r="E77" s="62">
        <f aca="true" t="shared" si="16" ref="E77:E87">D77</f>
        <v>112.9625</v>
      </c>
      <c r="F77" s="145"/>
      <c r="G77" s="145"/>
      <c r="H77" s="145"/>
      <c r="I77" s="145"/>
      <c r="J77" s="117"/>
      <c r="K77" s="117"/>
      <c r="L77" s="117"/>
      <c r="M77" s="117"/>
      <c r="N77" s="89"/>
      <c r="O77" s="146">
        <f aca="true" t="shared" si="17" ref="O77:O86">D77</f>
        <v>112.9625</v>
      </c>
      <c r="P77" s="146"/>
      <c r="Q77" s="146">
        <v>112.96</v>
      </c>
      <c r="R77" s="146"/>
      <c r="S77" s="69">
        <f aca="true" t="shared" si="18" ref="S77:S85">O77-P77-Q77-R77</f>
        <v>0.002500000000011937</v>
      </c>
      <c r="T77" s="98"/>
      <c r="U77" s="145"/>
      <c r="V77" s="145"/>
      <c r="W77" s="145"/>
      <c r="X77" s="98">
        <v>0</v>
      </c>
      <c r="Y77" s="44"/>
      <c r="Z77" s="56"/>
      <c r="AA77" s="56"/>
      <c r="AB77" s="56"/>
      <c r="AC77" s="56"/>
    </row>
    <row r="78" spans="1:29" s="57" customFormat="1" ht="12.75">
      <c r="A78" s="88" t="s">
        <v>159</v>
      </c>
      <c r="B78" s="68" t="s">
        <v>96</v>
      </c>
      <c r="C78" s="109"/>
      <c r="D78" s="61">
        <f>100/1.2</f>
        <v>83.33333333333334</v>
      </c>
      <c r="E78" s="62">
        <f t="shared" si="16"/>
        <v>83.33333333333334</v>
      </c>
      <c r="F78" s="145"/>
      <c r="G78" s="145"/>
      <c r="H78" s="145"/>
      <c r="I78" s="145"/>
      <c r="J78" s="117"/>
      <c r="K78" s="117"/>
      <c r="L78" s="117"/>
      <c r="M78" s="117"/>
      <c r="N78" s="89"/>
      <c r="O78" s="146">
        <f t="shared" si="17"/>
        <v>83.33333333333334</v>
      </c>
      <c r="P78" s="146">
        <v>63.6</v>
      </c>
      <c r="Q78" s="146"/>
      <c r="R78" s="146"/>
      <c r="S78" s="69">
        <f t="shared" si="18"/>
        <v>19.73333333333334</v>
      </c>
      <c r="T78" s="98"/>
      <c r="U78" s="145"/>
      <c r="V78" s="145"/>
      <c r="W78" s="145"/>
      <c r="X78" s="98">
        <v>0</v>
      </c>
      <c r="Y78" s="44"/>
      <c r="Z78" s="56"/>
      <c r="AA78" s="56"/>
      <c r="AB78" s="56"/>
      <c r="AC78" s="56"/>
    </row>
    <row r="79" spans="1:29" s="57" customFormat="1" ht="12.75">
      <c r="A79" s="88" t="s">
        <v>160</v>
      </c>
      <c r="B79" s="68" t="s">
        <v>161</v>
      </c>
      <c r="C79" s="109" t="s">
        <v>113</v>
      </c>
      <c r="D79" s="61">
        <f>(152.48435-45.745+30)/1.2</f>
        <v>113.94945833333334</v>
      </c>
      <c r="E79" s="62">
        <f t="shared" si="16"/>
        <v>113.94945833333334</v>
      </c>
      <c r="F79" s="145"/>
      <c r="G79" s="145"/>
      <c r="H79" s="145"/>
      <c r="I79" s="145"/>
      <c r="J79" s="117"/>
      <c r="K79" s="117"/>
      <c r="L79" s="117"/>
      <c r="M79" s="117"/>
      <c r="N79" s="89"/>
      <c r="O79" s="146">
        <f t="shared" si="17"/>
        <v>113.94945833333334</v>
      </c>
      <c r="P79" s="146">
        <v>2.71</v>
      </c>
      <c r="Q79" s="146">
        <v>51.392</v>
      </c>
      <c r="R79" s="146"/>
      <c r="S79" s="69">
        <f t="shared" si="18"/>
        <v>59.84745833333334</v>
      </c>
      <c r="T79" s="98"/>
      <c r="U79" s="145"/>
      <c r="V79" s="145"/>
      <c r="W79" s="145"/>
      <c r="X79" s="98">
        <v>0</v>
      </c>
      <c r="Y79" s="44"/>
      <c r="Z79" s="56"/>
      <c r="AA79" s="56"/>
      <c r="AB79" s="56"/>
      <c r="AC79" s="56"/>
    </row>
    <row r="80" spans="1:29" s="57" customFormat="1" ht="12.75">
      <c r="A80" s="88" t="s">
        <v>162</v>
      </c>
      <c r="B80" s="68" t="s">
        <v>163</v>
      </c>
      <c r="C80" s="109" t="s">
        <v>113</v>
      </c>
      <c r="D80" s="61">
        <v>500</v>
      </c>
      <c r="E80" s="62">
        <f t="shared" si="16"/>
        <v>500</v>
      </c>
      <c r="F80" s="145"/>
      <c r="G80" s="145"/>
      <c r="H80" s="145"/>
      <c r="I80" s="71"/>
      <c r="J80" s="117"/>
      <c r="K80" s="117"/>
      <c r="L80" s="117"/>
      <c r="M80" s="117"/>
      <c r="N80" s="89"/>
      <c r="O80" s="146">
        <f t="shared" si="17"/>
        <v>500</v>
      </c>
      <c r="P80" s="146"/>
      <c r="Q80" s="146"/>
      <c r="R80" s="146">
        <v>224.99</v>
      </c>
      <c r="S80" s="69">
        <f t="shared" si="18"/>
        <v>275.01</v>
      </c>
      <c r="T80" s="98"/>
      <c r="U80" s="145"/>
      <c r="V80" s="145"/>
      <c r="W80" s="145"/>
      <c r="X80" s="98">
        <v>0</v>
      </c>
      <c r="Y80" s="44"/>
      <c r="Z80" s="56"/>
      <c r="AA80" s="56"/>
      <c r="AB80" s="56"/>
      <c r="AC80" s="56"/>
    </row>
    <row r="81" spans="1:29" s="57" customFormat="1" ht="12.75">
      <c r="A81" s="88" t="s">
        <v>164</v>
      </c>
      <c r="B81" s="77" t="s">
        <v>165</v>
      </c>
      <c r="C81" s="109"/>
      <c r="D81" s="61">
        <f>434.474+6.34</f>
        <v>440.81399999999996</v>
      </c>
      <c r="E81" s="62">
        <f t="shared" si="16"/>
        <v>440.81399999999996</v>
      </c>
      <c r="F81" s="145"/>
      <c r="G81" s="145"/>
      <c r="H81" s="145"/>
      <c r="I81" s="145"/>
      <c r="J81" s="117"/>
      <c r="K81" s="117"/>
      <c r="L81" s="117"/>
      <c r="M81" s="117"/>
      <c r="N81" s="89"/>
      <c r="O81" s="146">
        <f t="shared" si="17"/>
        <v>440.81399999999996</v>
      </c>
      <c r="P81" s="146"/>
      <c r="Q81" s="146"/>
      <c r="R81" s="146"/>
      <c r="S81" s="69">
        <f t="shared" si="18"/>
        <v>440.81399999999996</v>
      </c>
      <c r="T81" s="98"/>
      <c r="U81" s="145"/>
      <c r="V81" s="145"/>
      <c r="W81" s="145"/>
      <c r="X81" s="98">
        <v>0</v>
      </c>
      <c r="Y81" s="44"/>
      <c r="Z81" s="56"/>
      <c r="AA81" s="56"/>
      <c r="AB81" s="56"/>
      <c r="AC81" s="56"/>
    </row>
    <row r="82" spans="1:29" s="57" customFormat="1" ht="12.75">
      <c r="A82" s="88" t="s">
        <v>166</v>
      </c>
      <c r="B82" s="77" t="s">
        <v>110</v>
      </c>
      <c r="C82" s="109"/>
      <c r="D82" s="61">
        <f>134.62/1.2</f>
        <v>112.18333333333334</v>
      </c>
      <c r="E82" s="62">
        <f t="shared" si="16"/>
        <v>112.18333333333334</v>
      </c>
      <c r="F82" s="145"/>
      <c r="G82" s="145"/>
      <c r="H82" s="145"/>
      <c r="I82" s="145"/>
      <c r="J82" s="117"/>
      <c r="K82" s="117"/>
      <c r="L82" s="117"/>
      <c r="M82" s="117"/>
      <c r="N82" s="89"/>
      <c r="O82" s="146">
        <f t="shared" si="17"/>
        <v>112.18333333333334</v>
      </c>
      <c r="P82" s="146">
        <v>67</v>
      </c>
      <c r="Q82" s="146"/>
      <c r="R82" s="146"/>
      <c r="S82" s="69">
        <f t="shared" si="18"/>
        <v>45.18333333333334</v>
      </c>
      <c r="T82" s="98"/>
      <c r="U82" s="145"/>
      <c r="V82" s="145"/>
      <c r="W82" s="145"/>
      <c r="X82" s="98">
        <v>0</v>
      </c>
      <c r="Y82" s="44"/>
      <c r="Z82" s="56"/>
      <c r="AA82" s="56"/>
      <c r="AB82" s="56"/>
      <c r="AC82" s="56"/>
    </row>
    <row r="83" spans="1:29" s="57" customFormat="1" ht="12.75">
      <c r="A83" s="88" t="s">
        <v>167</v>
      </c>
      <c r="B83" s="68" t="s">
        <v>168</v>
      </c>
      <c r="C83" s="25"/>
      <c r="D83" s="62">
        <v>43</v>
      </c>
      <c r="E83" s="62">
        <f t="shared" si="16"/>
        <v>43</v>
      </c>
      <c r="F83" s="145"/>
      <c r="G83" s="145"/>
      <c r="H83" s="145"/>
      <c r="I83" s="145"/>
      <c r="J83" s="117"/>
      <c r="K83" s="117"/>
      <c r="L83" s="117"/>
      <c r="M83" s="117"/>
      <c r="N83" s="89"/>
      <c r="O83" s="146">
        <f t="shared" si="17"/>
        <v>43</v>
      </c>
      <c r="P83" s="146"/>
      <c r="Q83" s="146"/>
      <c r="R83" s="146"/>
      <c r="S83" s="69">
        <f t="shared" si="18"/>
        <v>43</v>
      </c>
      <c r="T83" s="98"/>
      <c r="U83" s="145"/>
      <c r="V83" s="71"/>
      <c r="W83" s="145"/>
      <c r="X83" s="98">
        <v>0</v>
      </c>
      <c r="Y83" s="44"/>
      <c r="Z83" s="56"/>
      <c r="AA83" s="56"/>
      <c r="AB83" s="56"/>
      <c r="AC83" s="56"/>
    </row>
    <row r="84" spans="1:29" s="57" customFormat="1" ht="12.75">
      <c r="A84" s="88" t="s">
        <v>169</v>
      </c>
      <c r="B84" s="68" t="s">
        <v>170</v>
      </c>
      <c r="C84" s="109" t="s">
        <v>113</v>
      </c>
      <c r="D84" s="62">
        <v>100</v>
      </c>
      <c r="E84" s="62">
        <f t="shared" si="16"/>
        <v>100</v>
      </c>
      <c r="F84" s="145"/>
      <c r="G84" s="145"/>
      <c r="H84" s="145"/>
      <c r="I84" s="145"/>
      <c r="J84" s="117"/>
      <c r="K84" s="117"/>
      <c r="L84" s="117"/>
      <c r="M84" s="117"/>
      <c r="N84" s="89"/>
      <c r="O84" s="146">
        <f t="shared" si="17"/>
        <v>100</v>
      </c>
      <c r="P84" s="146"/>
      <c r="Q84" s="146"/>
      <c r="R84" s="146"/>
      <c r="S84" s="69">
        <f t="shared" si="18"/>
        <v>100</v>
      </c>
      <c r="T84" s="145"/>
      <c r="U84" s="145"/>
      <c r="V84" s="145"/>
      <c r="W84" s="145"/>
      <c r="X84" s="98">
        <v>0</v>
      </c>
      <c r="Y84" s="44"/>
      <c r="Z84" s="56"/>
      <c r="AA84" s="56"/>
      <c r="AB84" s="56"/>
      <c r="AC84" s="56"/>
    </row>
    <row r="85" spans="1:29" s="57" customFormat="1" ht="12.75">
      <c r="A85" s="88" t="s">
        <v>171</v>
      </c>
      <c r="B85" s="68" t="s">
        <v>172</v>
      </c>
      <c r="C85" s="109"/>
      <c r="D85" s="62">
        <v>154.125</v>
      </c>
      <c r="E85" s="62">
        <f t="shared" si="16"/>
        <v>154.125</v>
      </c>
      <c r="F85" s="145"/>
      <c r="G85" s="145"/>
      <c r="H85" s="145"/>
      <c r="I85" s="145"/>
      <c r="J85" s="117"/>
      <c r="K85" s="117"/>
      <c r="L85" s="117"/>
      <c r="M85" s="117"/>
      <c r="N85" s="89"/>
      <c r="O85" s="146">
        <f t="shared" si="17"/>
        <v>154.125</v>
      </c>
      <c r="P85" s="146"/>
      <c r="Q85" s="146"/>
      <c r="R85" s="146"/>
      <c r="S85" s="69">
        <f t="shared" si="18"/>
        <v>154.125</v>
      </c>
      <c r="T85" s="98">
        <v>0.5</v>
      </c>
      <c r="U85" s="145"/>
      <c r="V85" s="145"/>
      <c r="W85" s="145"/>
      <c r="X85" s="98">
        <v>336.59</v>
      </c>
      <c r="Y85" s="44"/>
      <c r="Z85" s="56"/>
      <c r="AA85" s="56"/>
      <c r="AB85" s="56"/>
      <c r="AC85" s="56"/>
    </row>
    <row r="86" spans="1:29" s="57" customFormat="1" ht="12.75">
      <c r="A86" s="88" t="s">
        <v>173</v>
      </c>
      <c r="B86" s="68" t="s">
        <v>121</v>
      </c>
      <c r="C86" s="100"/>
      <c r="D86" s="62">
        <v>160</v>
      </c>
      <c r="E86" s="62">
        <f t="shared" si="16"/>
        <v>160</v>
      </c>
      <c r="F86" s="145"/>
      <c r="G86" s="145"/>
      <c r="H86" s="145"/>
      <c r="I86" s="145"/>
      <c r="J86" s="117"/>
      <c r="K86" s="117"/>
      <c r="L86" s="117"/>
      <c r="M86" s="117"/>
      <c r="N86" s="89"/>
      <c r="O86" s="146">
        <f t="shared" si="17"/>
        <v>160</v>
      </c>
      <c r="P86" s="146">
        <v>26</v>
      </c>
      <c r="Q86" s="146"/>
      <c r="R86" s="146"/>
      <c r="S86" s="69">
        <f aca="true" t="shared" si="19" ref="S86:S87">O86-P86-Q86-R86</f>
        <v>134</v>
      </c>
      <c r="T86" s="98"/>
      <c r="U86" s="145"/>
      <c r="V86" s="145"/>
      <c r="W86" s="145"/>
      <c r="X86" s="98"/>
      <c r="Y86" s="44"/>
      <c r="Z86" s="56"/>
      <c r="AA86" s="56"/>
      <c r="AB86" s="56"/>
      <c r="AC86" s="56"/>
    </row>
    <row r="87" spans="1:29" s="57" customFormat="1" ht="12.75">
      <c r="A87" s="88" t="s">
        <v>174</v>
      </c>
      <c r="B87" s="68" t="s">
        <v>175</v>
      </c>
      <c r="C87" s="109"/>
      <c r="D87" s="61">
        <f>100/1.2</f>
        <v>83.33333333333334</v>
      </c>
      <c r="E87" s="62">
        <f t="shared" si="16"/>
        <v>83.33333333333334</v>
      </c>
      <c r="F87" s="145"/>
      <c r="G87" s="145"/>
      <c r="H87" s="145"/>
      <c r="I87" s="145"/>
      <c r="J87" s="117"/>
      <c r="K87" s="117"/>
      <c r="L87" s="117"/>
      <c r="M87" s="117"/>
      <c r="N87" s="89"/>
      <c r="O87" s="146">
        <f aca="true" t="shared" si="20" ref="O87">D87</f>
        <v>83.33333333333334</v>
      </c>
      <c r="P87" s="146"/>
      <c r="Q87" s="146"/>
      <c r="R87" s="146"/>
      <c r="S87" s="69">
        <f t="shared" si="19"/>
        <v>83.33333333333334</v>
      </c>
      <c r="T87" s="98"/>
      <c r="U87" s="145"/>
      <c r="V87" s="145"/>
      <c r="W87" s="145"/>
      <c r="X87" s="98"/>
      <c r="Y87" s="44"/>
      <c r="Z87" s="56"/>
      <c r="AA87" s="56"/>
      <c r="AB87" s="56"/>
      <c r="AC87" s="56"/>
    </row>
    <row r="88" spans="1:29" s="57" customFormat="1" ht="12.75">
      <c r="A88" s="72" t="s">
        <v>176</v>
      </c>
      <c r="B88" s="72"/>
      <c r="C88" s="72"/>
      <c r="D88" s="73">
        <f>SUM(D77:D87)</f>
        <v>1903.7009583333336</v>
      </c>
      <c r="E88" s="73">
        <f>SUM(E77:E87)</f>
        <v>1903.7009583333336</v>
      </c>
      <c r="F88" s="73">
        <f>SUM(F77:F87)</f>
        <v>0</v>
      </c>
      <c r="G88" s="73">
        <f>SUM(G77:G87)</f>
        <v>0</v>
      </c>
      <c r="H88" s="73">
        <f>SUM(H77:H87)</f>
        <v>0</v>
      </c>
      <c r="I88" s="73">
        <f>SUM(I77:I87)</f>
        <v>0</v>
      </c>
      <c r="J88" s="73">
        <f>SUM(J77:J87)</f>
        <v>0</v>
      </c>
      <c r="K88" s="73">
        <f>SUM(K77:K87)</f>
        <v>0</v>
      </c>
      <c r="L88" s="73">
        <f>SUM(L77:L87)</f>
        <v>0</v>
      </c>
      <c r="M88" s="73">
        <f>SUM(M77:M87)</f>
        <v>0</v>
      </c>
      <c r="N88" s="73">
        <f>SUM(N77:N87)</f>
        <v>0</v>
      </c>
      <c r="O88" s="73">
        <f>SUM(O77:O87)</f>
        <v>1903.7009583333336</v>
      </c>
      <c r="P88" s="73">
        <f>SUM(P77:P87)</f>
        <v>159.31</v>
      </c>
      <c r="Q88" s="73">
        <f>SUM(Q77:Q87)</f>
        <v>164.352</v>
      </c>
      <c r="R88" s="73">
        <f>SUM(R77:R87)</f>
        <v>224.99</v>
      </c>
      <c r="S88" s="73">
        <f>SUM(S77:S87)</f>
        <v>1355.0489583333333</v>
      </c>
      <c r="T88" s="73">
        <f>SUM(T77:T87)</f>
        <v>0.5</v>
      </c>
      <c r="U88" s="73"/>
      <c r="V88" s="73">
        <f>SUM(V77:V87)</f>
        <v>0</v>
      </c>
      <c r="W88" s="73">
        <f>SUM(W77:W87)</f>
        <v>0</v>
      </c>
      <c r="X88" s="73">
        <f>SUM(X77:X87)</f>
        <v>336.59</v>
      </c>
      <c r="Y88" s="44"/>
      <c r="Z88" s="56"/>
      <c r="AA88" s="56"/>
      <c r="AB88" s="56"/>
      <c r="AC88" s="56"/>
    </row>
    <row r="89" spans="1:29" s="57" customFormat="1" ht="12.75">
      <c r="A89" s="72" t="s">
        <v>177</v>
      </c>
      <c r="B89" s="72"/>
      <c r="C89" s="72"/>
      <c r="D89" s="120">
        <f>D88+D75+D70+D67+D64+D61</f>
        <v>11408.292125</v>
      </c>
      <c r="E89" s="120">
        <f>E88+E75+E70+E67+E64+E61</f>
        <v>6568.292125</v>
      </c>
      <c r="F89" s="147">
        <f>F88+F75+F70+F67+F64+F61</f>
        <v>0</v>
      </c>
      <c r="G89" s="120">
        <f>G88+G75+G70+G67+G64+G61</f>
        <v>0</v>
      </c>
      <c r="H89" s="120">
        <f>H88+H75+H70+H67+H64+H61</f>
        <v>0</v>
      </c>
      <c r="I89" s="120">
        <f>I88+I75+I70+I67+I64+I61</f>
        <v>0</v>
      </c>
      <c r="J89" s="120">
        <f>J88+J75+J70+J67+J64+J61</f>
        <v>4840</v>
      </c>
      <c r="K89" s="120">
        <f>K88+K75+K70+K67+K64+K61</f>
        <v>0</v>
      </c>
      <c r="L89" s="120">
        <f>L88+L75+L70+L67+L64+L61</f>
        <v>0</v>
      </c>
      <c r="M89" s="120">
        <f>M88+M75+M70+M67+M64+M61</f>
        <v>0</v>
      </c>
      <c r="N89" s="120">
        <f>N88+N75+N70+N67+N64+N61</f>
        <v>0</v>
      </c>
      <c r="O89" s="120">
        <f>O88+O75+O70+O67+O64+O61</f>
        <v>11408.292125</v>
      </c>
      <c r="P89" s="120">
        <f>P88+P75+P70+P67+P64+P61</f>
        <v>359.52</v>
      </c>
      <c r="Q89" s="120">
        <f>Q88+Q75+Q70+Q67+Q64+Q61</f>
        <v>164.352</v>
      </c>
      <c r="R89" s="120">
        <f>R88+R75+R70+R67+R64+R61</f>
        <v>3756.99</v>
      </c>
      <c r="S89" s="120">
        <f>S88+S75+S70+S67+S64+S61</f>
        <v>7127.430124999999</v>
      </c>
      <c r="T89" s="120">
        <f>T88+T75+T70+T67+T64+T61</f>
        <v>217.70000000000002</v>
      </c>
      <c r="U89" s="120"/>
      <c r="V89" s="148">
        <f>V88+V75+V70+V67+V64+V61</f>
        <v>145718</v>
      </c>
      <c r="W89" s="120">
        <f>W88+W75+W70+W67+W64+W61</f>
        <v>0</v>
      </c>
      <c r="X89" s="120">
        <f>X88+X75+X70+X67+X64+X61</f>
        <v>5602.87</v>
      </c>
      <c r="Y89" s="44"/>
      <c r="Z89" s="56"/>
      <c r="AA89" s="56"/>
      <c r="AB89" s="56"/>
      <c r="AC89" s="56"/>
    </row>
    <row r="90" spans="1:29" s="57" customFormat="1" ht="12.75">
      <c r="A90" s="72" t="s">
        <v>178</v>
      </c>
      <c r="B90" s="72"/>
      <c r="C90" s="72"/>
      <c r="D90" s="149">
        <f>D89</f>
        <v>11408.292125</v>
      </c>
      <c r="E90" s="149">
        <f>E89</f>
        <v>6568.292125</v>
      </c>
      <c r="F90" s="149">
        <f>F89</f>
        <v>0</v>
      </c>
      <c r="G90" s="149">
        <f>G89</f>
        <v>0</v>
      </c>
      <c r="H90" s="149">
        <f>H89</f>
        <v>0</v>
      </c>
      <c r="I90" s="149">
        <f>I89</f>
        <v>0</v>
      </c>
      <c r="J90" s="149">
        <f>J89</f>
        <v>4840</v>
      </c>
      <c r="K90" s="149">
        <f>K89</f>
        <v>0</v>
      </c>
      <c r="L90" s="149">
        <f>L89</f>
        <v>0</v>
      </c>
      <c r="M90" s="149">
        <f>M89</f>
        <v>0</v>
      </c>
      <c r="N90" s="149">
        <f>N89</f>
        <v>0</v>
      </c>
      <c r="O90" s="149">
        <f>O89</f>
        <v>11408.292125</v>
      </c>
      <c r="P90" s="149">
        <f>P89</f>
        <v>359.52</v>
      </c>
      <c r="Q90" s="149">
        <f>Q89</f>
        <v>164.352</v>
      </c>
      <c r="R90" s="149">
        <f>R89</f>
        <v>3756.99</v>
      </c>
      <c r="S90" s="149">
        <f>S89</f>
        <v>7127.430124999999</v>
      </c>
      <c r="T90" s="149">
        <f>T89</f>
        <v>217.70000000000002</v>
      </c>
      <c r="U90" s="149"/>
      <c r="V90" s="150">
        <f>V89</f>
        <v>145718</v>
      </c>
      <c r="W90" s="149">
        <f>W89</f>
        <v>0</v>
      </c>
      <c r="X90" s="149">
        <f>X89</f>
        <v>5602.87</v>
      </c>
      <c r="Y90" s="44"/>
      <c r="Z90" s="56"/>
      <c r="AA90" s="56"/>
      <c r="AB90" s="56"/>
      <c r="AC90" s="56"/>
    </row>
    <row r="91" spans="1:29" s="57" customFormat="1" ht="12.75">
      <c r="A91" s="108" t="s">
        <v>179</v>
      </c>
      <c r="B91" s="108"/>
      <c r="C91" s="108"/>
      <c r="D91" s="105">
        <f>D56+D90</f>
        <v>18424.3553</v>
      </c>
      <c r="E91" s="105">
        <f>E56+E90</f>
        <v>12524.396466666667</v>
      </c>
      <c r="F91" s="105">
        <f>F56+F90</f>
        <v>0</v>
      </c>
      <c r="G91" s="105">
        <f>G56+G90</f>
        <v>0</v>
      </c>
      <c r="H91" s="105">
        <f>H56+H90</f>
        <v>0</v>
      </c>
      <c r="I91" s="105">
        <f>I56+I90</f>
        <v>0</v>
      </c>
      <c r="J91" s="105">
        <f>J56+J90</f>
        <v>5899.96</v>
      </c>
      <c r="K91" s="105">
        <f>K56+K90</f>
        <v>0</v>
      </c>
      <c r="L91" s="105">
        <f>L56+L90</f>
        <v>0</v>
      </c>
      <c r="M91" s="105">
        <f>M56+M90</f>
        <v>0</v>
      </c>
      <c r="N91" s="105">
        <f>N56+N90</f>
        <v>0</v>
      </c>
      <c r="O91" s="105">
        <f>O56+O90</f>
        <v>18424.3553</v>
      </c>
      <c r="P91" s="105">
        <f>P56+P90</f>
        <v>861.77</v>
      </c>
      <c r="Q91" s="105">
        <f>Q56+Q90</f>
        <v>2830.152</v>
      </c>
      <c r="R91" s="105">
        <f>R56+R90</f>
        <v>6083</v>
      </c>
      <c r="S91" s="105">
        <f>S56+S90</f>
        <v>8649.433299999999</v>
      </c>
      <c r="T91" s="105">
        <f>T56+T90</f>
        <v>1346.9</v>
      </c>
      <c r="U91" s="105"/>
      <c r="V91" s="106">
        <f>V56+V90</f>
        <v>361287</v>
      </c>
      <c r="W91" s="105">
        <f>W56+W90</f>
        <v>39.69</v>
      </c>
      <c r="X91" s="151">
        <f>X56+X90</f>
        <v>8669.17</v>
      </c>
      <c r="Y91" s="44"/>
      <c r="Z91" s="56"/>
      <c r="AA91" s="56"/>
      <c r="AB91" s="56"/>
      <c r="AC91" s="56"/>
    </row>
    <row r="92" spans="1:29" s="57" customFormat="1" ht="12.75">
      <c r="A92" s="152" t="s">
        <v>180</v>
      </c>
      <c r="B92" s="152"/>
      <c r="C92" s="153"/>
      <c r="D92" s="153"/>
      <c r="E92" s="153"/>
      <c r="F92" s="154"/>
      <c r="G92" s="155"/>
      <c r="H92" s="155"/>
      <c r="K92" s="156"/>
      <c r="L92" s="156"/>
      <c r="M92" s="156"/>
      <c r="N92" s="156"/>
      <c r="O92" s="156"/>
      <c r="T92" s="45"/>
      <c r="U92" s="45"/>
      <c r="V92" s="45"/>
      <c r="W92" s="44"/>
      <c r="X92" s="45"/>
      <c r="Y92" s="44"/>
      <c r="Z92" s="56"/>
      <c r="AA92" s="56"/>
      <c r="AB92" s="56"/>
      <c r="AC92" s="56"/>
    </row>
    <row r="93" spans="1:29" s="57" customFormat="1" ht="12.75">
      <c r="A93" s="152" t="s">
        <v>181</v>
      </c>
      <c r="B93" s="44"/>
      <c r="C93" s="55"/>
      <c r="D93" s="55"/>
      <c r="E93" s="55"/>
      <c r="F93" s="157"/>
      <c r="G93" s="55"/>
      <c r="H93" s="55"/>
      <c r="I93" s="55"/>
      <c r="J93" s="55"/>
      <c r="T93" s="45"/>
      <c r="U93" s="45"/>
      <c r="V93" s="45"/>
      <c r="W93" s="45"/>
      <c r="X93" s="45"/>
      <c r="Y93" s="44"/>
      <c r="Z93" s="56"/>
      <c r="AA93" s="56"/>
      <c r="AB93" s="56"/>
      <c r="AC93" s="56"/>
    </row>
    <row r="94" spans="1:29" s="57" customFormat="1" ht="12.75">
      <c r="A94" s="152" t="s">
        <v>182</v>
      </c>
      <c r="B94" s="152"/>
      <c r="C94" s="55"/>
      <c r="D94" s="55"/>
      <c r="E94" s="55"/>
      <c r="F94" s="157"/>
      <c r="G94" s="55"/>
      <c r="H94" s="55"/>
      <c r="Y94" s="56"/>
      <c r="Z94" s="56"/>
      <c r="AA94" s="56"/>
      <c r="AB94" s="56"/>
      <c r="AC94" s="56"/>
    </row>
    <row r="95" spans="1:29" s="57" customFormat="1" ht="12.75">
      <c r="A95" s="158" t="s">
        <v>183</v>
      </c>
      <c r="B95" s="158"/>
      <c r="C95" s="158"/>
      <c r="D95" s="158"/>
      <c r="F95" s="159"/>
      <c r="Y95" s="56"/>
      <c r="Z95" s="56"/>
      <c r="AA95" s="56"/>
      <c r="AB95" s="56"/>
      <c r="AC95" s="56"/>
    </row>
    <row r="96" spans="1:29" s="57" customFormat="1" ht="12.75">
      <c r="A96" s="152"/>
      <c r="B96" s="160" t="s">
        <v>184</v>
      </c>
      <c r="C96" s="152"/>
      <c r="D96" s="152"/>
      <c r="E96" s="161"/>
      <c r="F96" s="161"/>
      <c r="G96" s="152"/>
      <c r="H96" s="160" t="s">
        <v>185</v>
      </c>
      <c r="I96" s="160"/>
      <c r="J96" s="160"/>
      <c r="Y96" s="56"/>
      <c r="Z96" s="56"/>
      <c r="AA96" s="56"/>
      <c r="AB96" s="56"/>
      <c r="AC96" s="56"/>
    </row>
    <row r="97" spans="1:29" s="57" customFormat="1" ht="12.75">
      <c r="A97" s="162"/>
      <c r="B97" s="163" t="s">
        <v>186</v>
      </c>
      <c r="C97" s="163"/>
      <c r="E97" s="152" t="s">
        <v>187</v>
      </c>
      <c r="F97" s="152"/>
      <c r="G97" s="152"/>
      <c r="H97" s="44" t="s">
        <v>188</v>
      </c>
      <c r="I97" s="44"/>
      <c r="J97" s="44"/>
      <c r="Y97" s="56"/>
      <c r="Z97" s="56"/>
      <c r="AA97" s="56"/>
      <c r="AB97" s="56"/>
      <c r="AC97" s="56"/>
    </row>
    <row r="98" spans="1:29" s="57" customFormat="1" ht="12.75">
      <c r="A98" s="164"/>
      <c r="B98" s="45"/>
      <c r="F98" s="159"/>
      <c r="Y98" s="56"/>
      <c r="Z98" s="56"/>
      <c r="AA98" s="56"/>
      <c r="AB98" s="56"/>
      <c r="AC98" s="56"/>
    </row>
    <row r="99" spans="1:29" s="57" customFormat="1" ht="12.75">
      <c r="A99" s="164"/>
      <c r="B99" s="45"/>
      <c r="F99" s="159"/>
      <c r="Y99" s="56"/>
      <c r="Z99" s="56"/>
      <c r="AA99" s="56"/>
      <c r="AB99" s="56"/>
      <c r="AC99" s="56"/>
    </row>
    <row r="100" spans="1:29" s="57" customFormat="1" ht="12.75">
      <c r="A100" s="164"/>
      <c r="B100" s="45"/>
      <c r="F100" s="159"/>
      <c r="Y100" s="56"/>
      <c r="Z100" s="56"/>
      <c r="AA100" s="56"/>
      <c r="AB100" s="56"/>
      <c r="AC100" s="56"/>
    </row>
    <row r="101" spans="1:29" s="57" customFormat="1" ht="12.75">
      <c r="A101" s="164"/>
      <c r="B101" s="45"/>
      <c r="F101" s="159"/>
      <c r="Y101" s="56"/>
      <c r="Z101" s="56"/>
      <c r="AA101" s="56"/>
      <c r="AB101" s="56"/>
      <c r="AC101" s="56"/>
    </row>
    <row r="102" spans="1:29" s="57" customFormat="1" ht="12.75">
      <c r="A102" s="164"/>
      <c r="B102" s="45"/>
      <c r="F102" s="159"/>
      <c r="Y102" s="56"/>
      <c r="Z102" s="56"/>
      <c r="AA102" s="56"/>
      <c r="AB102" s="56"/>
      <c r="AC102" s="56"/>
    </row>
    <row r="103" spans="1:29" s="57" customFormat="1" ht="12.75">
      <c r="A103" s="164"/>
      <c r="B103" s="45"/>
      <c r="F103" s="159"/>
      <c r="I103" s="165"/>
      <c r="Y103" s="56"/>
      <c r="Z103" s="56"/>
      <c r="AA103" s="56"/>
      <c r="AB103" s="56"/>
      <c r="AC103" s="56"/>
    </row>
    <row r="104" spans="1:29" s="57" customFormat="1" ht="12.75">
      <c r="A104" s="164"/>
      <c r="B104" s="45"/>
      <c r="F104" s="159"/>
      <c r="Y104" s="56"/>
      <c r="Z104" s="56"/>
      <c r="AA104" s="56"/>
      <c r="AB104" s="56"/>
      <c r="AC104" s="56"/>
    </row>
    <row r="105" spans="1:29" s="57" customFormat="1" ht="12.75">
      <c r="A105" s="164"/>
      <c r="B105" s="45"/>
      <c r="F105" s="159"/>
      <c r="Y105" s="56"/>
      <c r="Z105" s="56"/>
      <c r="AA105" s="56"/>
      <c r="AB105" s="56"/>
      <c r="AC105" s="56"/>
    </row>
    <row r="106" spans="1:29" s="57" customFormat="1" ht="12.75">
      <c r="A106" s="164"/>
      <c r="B106" s="45"/>
      <c r="F106" s="159"/>
      <c r="Y106" s="56"/>
      <c r="Z106" s="56"/>
      <c r="AA106" s="56"/>
      <c r="AB106" s="56"/>
      <c r="AC106" s="56"/>
    </row>
    <row r="107" spans="1:29" s="57" customFormat="1" ht="12.75">
      <c r="A107" s="164"/>
      <c r="B107" s="45"/>
      <c r="F107" s="159"/>
      <c r="Y107" s="56"/>
      <c r="Z107" s="56"/>
      <c r="AA107" s="56"/>
      <c r="AB107" s="56"/>
      <c r="AC107" s="56"/>
    </row>
    <row r="108" spans="1:29" s="57" customFormat="1" ht="12.75">
      <c r="A108" s="164"/>
      <c r="B108" s="45"/>
      <c r="F108" s="159"/>
      <c r="Y108" s="56"/>
      <c r="Z108" s="56"/>
      <c r="AA108" s="56"/>
      <c r="AB108" s="56"/>
      <c r="AC108" s="56"/>
    </row>
    <row r="109" spans="1:29" s="57" customFormat="1" ht="12.75">
      <c r="A109" s="164"/>
      <c r="B109" s="45"/>
      <c r="F109" s="159"/>
      <c r="Y109" s="56"/>
      <c r="Z109" s="56"/>
      <c r="AA109" s="56"/>
      <c r="AB109" s="56"/>
      <c r="AC109" s="56"/>
    </row>
    <row r="110" spans="1:29" s="57" customFormat="1" ht="12.75">
      <c r="A110" s="164"/>
      <c r="B110" s="45"/>
      <c r="F110" s="159"/>
      <c r="Y110" s="56"/>
      <c r="Z110" s="56"/>
      <c r="AA110" s="56"/>
      <c r="AB110" s="56"/>
      <c r="AC110" s="56"/>
    </row>
    <row r="111" spans="1:29" s="57" customFormat="1" ht="12.75">
      <c r="A111" s="164"/>
      <c r="B111" s="45"/>
      <c r="F111" s="159"/>
      <c r="Y111" s="56"/>
      <c r="Z111" s="56"/>
      <c r="AA111" s="56"/>
      <c r="AB111" s="56"/>
      <c r="AC111" s="56"/>
    </row>
    <row r="112" spans="1:29" s="57" customFormat="1" ht="12.75">
      <c r="A112" s="164"/>
      <c r="B112" s="45"/>
      <c r="F112" s="159"/>
      <c r="Y112" s="56"/>
      <c r="Z112" s="56"/>
      <c r="AA112" s="56"/>
      <c r="AB112" s="56"/>
      <c r="AC112" s="56"/>
    </row>
    <row r="113" spans="1:29" s="57" customFormat="1" ht="12.75">
      <c r="A113" s="164"/>
      <c r="B113" s="45"/>
      <c r="F113" s="159"/>
      <c r="Y113" s="56"/>
      <c r="Z113" s="56"/>
      <c r="AA113" s="56"/>
      <c r="AB113" s="56"/>
      <c r="AC113" s="56"/>
    </row>
    <row r="114" spans="1:29" s="57" customFormat="1" ht="12.75">
      <c r="A114" s="164"/>
      <c r="B114" s="45"/>
      <c r="F114" s="159"/>
      <c r="Y114" s="56"/>
      <c r="Z114" s="56"/>
      <c r="AA114" s="56"/>
      <c r="AB114" s="56"/>
      <c r="AC114" s="56"/>
    </row>
    <row r="115" spans="1:29" s="57" customFormat="1" ht="12.75">
      <c r="A115" s="164"/>
      <c r="B115" s="45"/>
      <c r="F115" s="159"/>
      <c r="Y115" s="56"/>
      <c r="Z115" s="56"/>
      <c r="AA115" s="56"/>
      <c r="AB115" s="56"/>
      <c r="AC115" s="56"/>
    </row>
    <row r="116" spans="1:29" s="57" customFormat="1" ht="12.75">
      <c r="A116" s="164"/>
      <c r="B116" s="45"/>
      <c r="F116" s="159"/>
      <c r="Y116" s="56"/>
      <c r="Z116" s="56"/>
      <c r="AA116" s="56"/>
      <c r="AB116" s="56"/>
      <c r="AC116" s="56"/>
    </row>
    <row r="117" spans="1:29" s="57" customFormat="1" ht="12.75">
      <c r="A117" s="164"/>
      <c r="B117" s="45"/>
      <c r="F117" s="159"/>
      <c r="Y117" s="56"/>
      <c r="Z117" s="56"/>
      <c r="AA117" s="56"/>
      <c r="AB117" s="56"/>
      <c r="AC117" s="56"/>
    </row>
    <row r="118" spans="1:29" s="57" customFormat="1" ht="12.75">
      <c r="A118" s="164"/>
      <c r="B118" s="45"/>
      <c r="F118" s="159"/>
      <c r="Y118" s="56"/>
      <c r="Z118" s="56"/>
      <c r="AA118" s="56"/>
      <c r="AB118" s="56"/>
      <c r="AC118" s="56"/>
    </row>
    <row r="119" spans="1:29" s="57" customFormat="1" ht="12.75">
      <c r="A119" s="164"/>
      <c r="B119" s="45"/>
      <c r="F119" s="159"/>
      <c r="Y119" s="56"/>
      <c r="Z119" s="56"/>
      <c r="AA119" s="56"/>
      <c r="AB119" s="56"/>
      <c r="AC119" s="56"/>
    </row>
    <row r="120" spans="1:29" s="57" customFormat="1" ht="12.75">
      <c r="A120" s="164"/>
      <c r="B120" s="45"/>
      <c r="F120" s="159"/>
      <c r="Y120" s="56"/>
      <c r="Z120" s="56"/>
      <c r="AA120" s="56"/>
      <c r="AB120" s="56"/>
      <c r="AC120" s="56"/>
    </row>
    <row r="121" spans="1:29" s="57" customFormat="1" ht="12.75">
      <c r="A121" s="164"/>
      <c r="B121" s="45"/>
      <c r="F121" s="159"/>
      <c r="Y121" s="56"/>
      <c r="Z121" s="56"/>
      <c r="AA121" s="56"/>
      <c r="AB121" s="56"/>
      <c r="AC121" s="56"/>
    </row>
    <row r="122" spans="1:29" s="57" customFormat="1" ht="12.75">
      <c r="A122" s="164"/>
      <c r="B122" s="45"/>
      <c r="F122" s="159"/>
      <c r="Y122" s="56"/>
      <c r="Z122" s="56"/>
      <c r="AA122" s="56"/>
      <c r="AB122" s="56"/>
      <c r="AC122" s="56"/>
    </row>
    <row r="123" spans="1:29" s="57" customFormat="1" ht="12.75">
      <c r="A123" s="164"/>
      <c r="B123" s="45"/>
      <c r="F123" s="159"/>
      <c r="Y123" s="56"/>
      <c r="Z123" s="56"/>
      <c r="AA123" s="56"/>
      <c r="AB123" s="56"/>
      <c r="AC123" s="56"/>
    </row>
    <row r="124" spans="1:29" s="57" customFormat="1" ht="12.75">
      <c r="A124" s="164"/>
      <c r="B124" s="45"/>
      <c r="F124" s="159"/>
      <c r="Y124" s="56"/>
      <c r="Z124" s="56"/>
      <c r="AA124" s="56"/>
      <c r="AB124" s="56"/>
      <c r="AC124" s="56"/>
    </row>
    <row r="125" spans="1:29" s="57" customFormat="1" ht="12.75">
      <c r="A125" s="164"/>
      <c r="B125" s="45"/>
      <c r="F125" s="159"/>
      <c r="Y125" s="56"/>
      <c r="Z125" s="56"/>
      <c r="AA125" s="56"/>
      <c r="AB125" s="56"/>
      <c r="AC125" s="56"/>
    </row>
    <row r="126" spans="1:29" s="57" customFormat="1" ht="12.75">
      <c r="A126" s="164"/>
      <c r="B126" s="45"/>
      <c r="F126" s="159"/>
      <c r="Y126" s="56"/>
      <c r="Z126" s="56"/>
      <c r="AA126" s="56"/>
      <c r="AB126" s="56"/>
      <c r="AC126" s="56"/>
    </row>
    <row r="127" spans="1:29" s="57" customFormat="1" ht="12.75">
      <c r="A127" s="164"/>
      <c r="B127" s="45"/>
      <c r="F127" s="159"/>
      <c r="Y127" s="56"/>
      <c r="Z127" s="56"/>
      <c r="AA127" s="56"/>
      <c r="AB127" s="56"/>
      <c r="AC127" s="56"/>
    </row>
    <row r="128" spans="1:29" s="57" customFormat="1" ht="12.75">
      <c r="A128" s="164"/>
      <c r="B128" s="45"/>
      <c r="F128" s="159"/>
      <c r="Y128" s="56"/>
      <c r="Z128" s="56"/>
      <c r="AA128" s="56"/>
      <c r="AB128" s="56"/>
      <c r="AC128" s="56"/>
    </row>
    <row r="129" spans="1:29" s="57" customFormat="1" ht="12.75">
      <c r="A129" s="164"/>
      <c r="B129" s="45"/>
      <c r="F129" s="159"/>
      <c r="Y129" s="56"/>
      <c r="Z129" s="56"/>
      <c r="AA129" s="56"/>
      <c r="AB129" s="56"/>
      <c r="AC129" s="56"/>
    </row>
    <row r="130" spans="1:29" s="57" customFormat="1" ht="12.75">
      <c r="A130" s="164"/>
      <c r="B130" s="45"/>
      <c r="F130" s="159"/>
      <c r="Y130" s="56"/>
      <c r="Z130" s="56"/>
      <c r="AA130" s="56"/>
      <c r="AB130" s="56"/>
      <c r="AC130" s="56"/>
    </row>
    <row r="131" spans="1:29" s="57" customFormat="1" ht="12.75">
      <c r="A131" s="164"/>
      <c r="B131" s="45"/>
      <c r="F131" s="159"/>
      <c r="Y131" s="56"/>
      <c r="Z131" s="56"/>
      <c r="AA131" s="56"/>
      <c r="AB131" s="56"/>
      <c r="AC131" s="56"/>
    </row>
    <row r="132" spans="1:29" s="57" customFormat="1" ht="12.75">
      <c r="A132" s="164"/>
      <c r="B132" s="45"/>
      <c r="F132" s="159"/>
      <c r="Y132" s="56"/>
      <c r="Z132" s="56"/>
      <c r="AA132" s="56"/>
      <c r="AB132" s="56"/>
      <c r="AC132" s="56"/>
    </row>
    <row r="133" spans="1:29" s="57" customFormat="1" ht="12.75">
      <c r="A133" s="164"/>
      <c r="B133" s="45"/>
      <c r="F133" s="159"/>
      <c r="Y133" s="56"/>
      <c r="Z133" s="56"/>
      <c r="AA133" s="56"/>
      <c r="AB133" s="56"/>
      <c r="AC133" s="56"/>
    </row>
    <row r="134" spans="1:29" s="57" customFormat="1" ht="12.75">
      <c r="A134" s="164"/>
      <c r="B134" s="45"/>
      <c r="F134" s="159"/>
      <c r="Y134" s="56"/>
      <c r="Z134" s="56"/>
      <c r="AA134" s="56"/>
      <c r="AB134" s="56"/>
      <c r="AC134" s="56"/>
    </row>
    <row r="135" spans="1:29" s="57" customFormat="1" ht="12.75">
      <c r="A135" s="164"/>
      <c r="B135" s="45"/>
      <c r="F135" s="159"/>
      <c r="Y135" s="56"/>
      <c r="Z135" s="56"/>
      <c r="AA135" s="56"/>
      <c r="AB135" s="56"/>
      <c r="AC135" s="56"/>
    </row>
    <row r="136" spans="1:29" s="57" customFormat="1" ht="12.75">
      <c r="A136" s="164"/>
      <c r="B136" s="45"/>
      <c r="F136" s="159"/>
      <c r="Y136" s="56"/>
      <c r="Z136" s="56"/>
      <c r="AA136" s="56"/>
      <c r="AB136" s="56"/>
      <c r="AC136" s="56"/>
    </row>
    <row r="137" spans="1:29" s="57" customFormat="1" ht="12.75">
      <c r="A137" s="164"/>
      <c r="B137" s="45"/>
      <c r="F137" s="159"/>
      <c r="Y137" s="56"/>
      <c r="Z137" s="56"/>
      <c r="AA137" s="56"/>
      <c r="AB137" s="56"/>
      <c r="AC137" s="56"/>
    </row>
  </sheetData>
  <sheetProtection selectLockedCells="1" selectUnlockedCells="1"/>
  <mergeCells count="83">
    <mergeCell ref="R1:X1"/>
    <mergeCell ref="B3:E3"/>
    <mergeCell ref="M3:O3"/>
    <mergeCell ref="B4:E4"/>
    <mergeCell ref="M4:Q4"/>
    <mergeCell ref="B5:E5"/>
    <mergeCell ref="M5:P5"/>
    <mergeCell ref="B6:E6"/>
    <mergeCell ref="B7:F7"/>
    <mergeCell ref="M7:N7"/>
    <mergeCell ref="O7:P7"/>
    <mergeCell ref="A10:U10"/>
    <mergeCell ref="A11:X11"/>
    <mergeCell ref="A12:X12"/>
    <mergeCell ref="A13:X13"/>
    <mergeCell ref="A14:A17"/>
    <mergeCell ref="B14:B17"/>
    <mergeCell ref="C14:C17"/>
    <mergeCell ref="D14:J14"/>
    <mergeCell ref="K14:K17"/>
    <mergeCell ref="L14:L17"/>
    <mergeCell ref="M14:M17"/>
    <mergeCell ref="N14:O14"/>
    <mergeCell ref="P14:S14"/>
    <mergeCell ref="T14:T17"/>
    <mergeCell ref="U14:U17"/>
    <mergeCell ref="V14:V17"/>
    <mergeCell ref="W14:W17"/>
    <mergeCell ref="X14:X17"/>
    <mergeCell ref="Y14:Y17"/>
    <mergeCell ref="D15:D17"/>
    <mergeCell ref="E15:J15"/>
    <mergeCell ref="N15:N17"/>
    <mergeCell ref="O15:O17"/>
    <mergeCell ref="P15:P17"/>
    <mergeCell ref="Q15:Q17"/>
    <mergeCell ref="R15:R17"/>
    <mergeCell ref="S15:S17"/>
    <mergeCell ref="E16:E17"/>
    <mergeCell ref="F16:F17"/>
    <mergeCell ref="G16:G17"/>
    <mergeCell ref="H16:H17"/>
    <mergeCell ref="I16:J16"/>
    <mergeCell ref="C19:X19"/>
    <mergeCell ref="C20:X20"/>
    <mergeCell ref="C21:X21"/>
    <mergeCell ref="V22:V23"/>
    <mergeCell ref="X22:X23"/>
    <mergeCell ref="A25:C25"/>
    <mergeCell ref="C26:X26"/>
    <mergeCell ref="A30:C30"/>
    <mergeCell ref="C31:X31"/>
    <mergeCell ref="A32:C32"/>
    <mergeCell ref="B33:X33"/>
    <mergeCell ref="A36:C36"/>
    <mergeCell ref="B37:X37"/>
    <mergeCell ref="A54:C54"/>
    <mergeCell ref="A55:C55"/>
    <mergeCell ref="A56:C56"/>
    <mergeCell ref="C57:X57"/>
    <mergeCell ref="B58:X58"/>
    <mergeCell ref="B59:X59"/>
    <mergeCell ref="A61:C61"/>
    <mergeCell ref="B62:X62"/>
    <mergeCell ref="A64:C64"/>
    <mergeCell ref="B65:X65"/>
    <mergeCell ref="A67:C67"/>
    <mergeCell ref="B68:X68"/>
    <mergeCell ref="A70:C70"/>
    <mergeCell ref="B71:X71"/>
    <mergeCell ref="A75:C75"/>
    <mergeCell ref="B76:X76"/>
    <mergeCell ref="A88:C88"/>
    <mergeCell ref="A89:C89"/>
    <mergeCell ref="A90:C90"/>
    <mergeCell ref="A91:C91"/>
    <mergeCell ref="A92:B92"/>
    <mergeCell ref="K92:O92"/>
    <mergeCell ref="A95:D95"/>
    <mergeCell ref="E96:F96"/>
    <mergeCell ref="H96:J96"/>
    <mergeCell ref="E97:F97"/>
    <mergeCell ref="H97:J97"/>
  </mergeCells>
  <printOptions/>
  <pageMargins left="0.3541666666666667" right="0.24097222222222223" top="0.6270833333333333" bottom="0.4826388888888889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2023-11-23T13:28:52Z</cp:lastPrinted>
  <dcterms:created xsi:type="dcterms:W3CDTF">2011-09-13T12:33:42Z</dcterms:created>
  <dcterms:modified xsi:type="dcterms:W3CDTF">2024-04-08T06:36:36Z</dcterms:modified>
  <cp:category/>
  <cp:version/>
  <cp:contentType/>
  <cp:contentStatus/>
  <cp:revision>271</cp:revision>
</cp:coreProperties>
</file>