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3" sheetId="1" r:id="rId1"/>
  </sheets>
  <definedNames>
    <definedName name="Excel_BuiltIn_Print_Area_1">#REF!</definedName>
    <definedName name="Excel_BuiltIn_Print_Area_2">'3'!$A$1:$U$120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<sst xmlns="http://schemas.openxmlformats.org/spreadsheetml/2006/main" count="265" uniqueCount="231">
  <si>
    <t>Додаток 3                                                                                             до Інвестиційної програми КП “Чорноморськводоканал” погоджено Рішенням Виконкому ЧМР від_______ №_______</t>
  </si>
  <si>
    <t>ПОГОДЖЕНО</t>
  </si>
  <si>
    <t xml:space="preserve">ЗАТВЕРДЖЕНО                         </t>
  </si>
  <si>
    <r>
      <t xml:space="preserve">рішенням </t>
    </r>
    <r>
      <rPr>
        <b/>
        <sz val="11"/>
        <color indexed="8"/>
        <rFont val="Times New Roman"/>
        <family val="1"/>
      </rPr>
      <t>Виконавчого комітету Чорноморської</t>
    </r>
  </si>
  <si>
    <t xml:space="preserve"> Директор   КП «Чорноморськводоканал»</t>
  </si>
  <si>
    <t>міської ради Одеського району Одеської області</t>
  </si>
  <si>
    <t>(посадова особа ліцензіата)</t>
  </si>
  <si>
    <t xml:space="preserve">          (найменування органу місцевого самоврядування)</t>
  </si>
  <si>
    <r>
      <t>__________________</t>
    </r>
    <r>
      <rPr>
        <b/>
        <u val="single"/>
        <sz val="10.5"/>
        <rFont val="Times New Roman"/>
        <family val="1"/>
      </rPr>
      <t>Є.М.Ігнатовський</t>
    </r>
  </si>
  <si>
    <t>Від _______________202_  року № ________</t>
  </si>
  <si>
    <t>(підпис)</t>
  </si>
  <si>
    <t>(П.І.Б.)</t>
  </si>
  <si>
    <t>М.П.</t>
  </si>
  <si>
    <t>_____________________ 2023 року</t>
  </si>
  <si>
    <r>
      <t xml:space="preserve">Фінансовий план використання коштів для  виконання  інвестиційної програми на 2023 рік </t>
    </r>
    <r>
      <rPr>
        <sz val="12"/>
        <rFont val="Times New Roman"/>
        <family val="1"/>
      </rPr>
      <t>(КОРИГУВАННЯ)</t>
    </r>
  </si>
  <si>
    <t>КП “Чорноморськводоканал”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</si>
  <si>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</si>
  <si>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</si>
  <si>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</si>
  <si>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</si>
  <si>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</si>
  <si>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</si>
  <si>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та прогнозний періоди тис. грн. (без ПДВ)</t>
  </si>
  <si>
    <t>Строк окупності (місяців)**</t>
  </si>
  <si>
    <t xml:space="preserve">№ аркуша обґрунтовуючих матеріалів </t>
  </si>
  <si>
    <t>Економія паливно-енергетичних ресурсів (кВт/год/прогнозний період)</t>
  </si>
  <si>
    <t>Економія фонду заробітної плати, (тис. грн./прогнозний період)</t>
  </si>
  <si>
    <t>Економічний ефект  (тис. грн.)***</t>
  </si>
  <si>
    <t xml:space="preserve">загальна сума </t>
  </si>
  <si>
    <t>з урахуванням:</t>
  </si>
  <si>
    <t>госпо-      дарський  (вартість    матеріаль-них ресурсів)</t>
  </si>
  <si>
    <t>підряд-  ний</t>
  </si>
  <si>
    <t>планова-ний період</t>
  </si>
  <si>
    <t>прогнозний період</t>
  </si>
  <si>
    <t>аморти-   заційні відраху-   вання</t>
  </si>
  <si>
    <t>виробничі інвестиції з прибутку</t>
  </si>
  <si>
    <t>позичкові кошти</t>
  </si>
  <si>
    <t>інші залучені кошти, з них:</t>
  </si>
  <si>
    <t>бюджетні кошти (не підлягають повернен-ню)</t>
  </si>
  <si>
    <t>підлягають поверненню</t>
  </si>
  <si>
    <t xml:space="preserve"> не підлягають поверненню </t>
  </si>
  <si>
    <t>Плано-ваний період + 1</t>
  </si>
  <si>
    <t>плано-ваний період + n*</t>
  </si>
  <si>
    <t>І</t>
  </si>
  <si>
    <t>ВОДОПОСТАЧАННЯ</t>
  </si>
  <si>
    <t>1.2</t>
  </si>
  <si>
    <t xml:space="preserve">Інші заходи з них:   </t>
  </si>
  <si>
    <t>1.2.1</t>
  </si>
  <si>
    <t>Заходи зі зниження питомих витрат, а також втрат ресурсів, з них:</t>
  </si>
  <si>
    <t>1.2.1.1</t>
  </si>
  <si>
    <t xml:space="preserve">Заміна системи управління рівнем води (яка застаріла) на центральній насосній станції за адресою: Одеська область, Одеський район, м. Чорноморськ, вул. Транспортна, 11 </t>
  </si>
  <si>
    <t>1 система</t>
  </si>
  <si>
    <t>1.2.1.2</t>
  </si>
  <si>
    <t>Заміна системи управління рівнем води (яка застаріла) на РЧВ 10000 м3 за адресою: Одеська область, Одеський район, с. Молодіжне, вул. Санжійська дорога, 3Б</t>
  </si>
  <si>
    <t>1.2.1.3</t>
  </si>
  <si>
    <t>Капітальний ремонт ділянки водогону Dn 700 мм, що розташований за адресою: Одеська область, Одеський район, м. Чорноморськ, перехрестя вул. Перемоги — вул. Транспортної</t>
  </si>
  <si>
    <t>65 м</t>
  </si>
  <si>
    <t>1.2.1.4</t>
  </si>
  <si>
    <t>Підготовлення 4-х НС для встановлення насосного обладнання + модернізація 3 НС</t>
  </si>
  <si>
    <t>7 НС</t>
  </si>
  <si>
    <t>1.2.1.5</t>
  </si>
  <si>
    <t>Заміна засувки діаметром 400 мм на водопроводі за адресою: Одеської область, Одеський район,м. Чорноморськ, вул. Паруса</t>
  </si>
  <si>
    <t>1 шт</t>
  </si>
  <si>
    <t>1.2.1.6</t>
  </si>
  <si>
    <t>Придбання засувки Д 600 мм з обгумованим клином для заміни на водогоні Д 700 мм</t>
  </si>
  <si>
    <t>1.2.1.7</t>
  </si>
  <si>
    <t>Придбання засувок Д 500 мм  з обгумованим клином для заміни на водопровідних мережах</t>
  </si>
  <si>
    <t>3 шт</t>
  </si>
  <si>
    <t>1.2.1.8</t>
  </si>
  <si>
    <t>Придбання затворів (засувок) з демонтажними вставками для заміни на водогонах</t>
  </si>
  <si>
    <t>2 шт</t>
  </si>
  <si>
    <t>1.2.1.9</t>
  </si>
  <si>
    <t>Придбання насосних станцій для заміни зношеного енерговитратного насосного обладнання на НС м. Чорноморська Одеського району, Одеської області</t>
  </si>
  <si>
    <t>4 шт</t>
  </si>
  <si>
    <t>1.2.1.10</t>
  </si>
  <si>
    <t>Придбання частотного перетворювача для заміни аварійного  на ЦНС по вул. Транспортна, 11 м. Чорноморську Одеського району Одеської області</t>
  </si>
  <si>
    <t>1.2.1.11</t>
  </si>
  <si>
    <t>Заміна та пусконалагодження частотного перетворювача на ЦНС по вул. Транспортна, 11 м. Чорноморську Одеського району Одеської області</t>
  </si>
  <si>
    <t>1.2.1.12</t>
  </si>
  <si>
    <r>
      <t xml:space="preserve">Реконструкція вводу водопроводу на НС по вул. Парусній, 5-А в м. Чорноморську Одеського району Одеської області </t>
    </r>
    <r>
      <rPr>
        <i/>
        <sz val="10"/>
        <color indexed="8"/>
        <rFont val="Times New Roman"/>
        <family val="1"/>
      </rPr>
      <t>(проєктні роботи, експертиза, будівельні роботи)</t>
    </r>
  </si>
  <si>
    <t>255 м</t>
  </si>
  <si>
    <t>1.2.1.13</t>
  </si>
  <si>
    <t>Реконструкція мереж водопроводу, що проходить по пр.Мира від будинку №12 до будинку №18 (перемичка через дорогу) у м.Чорноморську Одеського району Одеської області</t>
  </si>
  <si>
    <t>189 м</t>
  </si>
  <si>
    <t>1.2.1.14</t>
  </si>
  <si>
    <r>
      <t xml:space="preserve">Реконструкція сталевої ділянки водогону Д 700 мм за адресою: Одеська область, Одеський район, с. Молодіжне, вул. Заводська </t>
    </r>
    <r>
      <rPr>
        <i/>
        <sz val="10"/>
        <color indexed="8"/>
        <rFont val="Times New Roman"/>
        <family val="1"/>
      </rPr>
      <t>(проєктні роботи, експертиза, будівельні роботи)</t>
    </r>
  </si>
  <si>
    <t>142 м</t>
  </si>
  <si>
    <t>1.2.1.15</t>
  </si>
  <si>
    <t>Реконструкція трубопроводу для відновлення вводу водопроводу на КНП "Чорноморська лікарня" Чорноморської міської ради Одеського району Одеської області за адресою: м. Чорноморськ, вул. В. Шума, 4</t>
  </si>
  <si>
    <t>40 м</t>
  </si>
  <si>
    <t>Усього за підпунктом 1.2.1</t>
  </si>
  <si>
    <t>1.2.2</t>
  </si>
  <si>
    <t>Заходи щодо забезпечення технологічного та/або комерційного обліку ресурсів, з них:</t>
  </si>
  <si>
    <t>1.2.2.1</t>
  </si>
  <si>
    <t>Влаштування технологічних вузлів обліку на мережах водопостачання Чорноморської територіальної громади Одеського району Одеської області</t>
  </si>
  <si>
    <t>7 к-тів</t>
  </si>
  <si>
    <t>1.2.2.2</t>
  </si>
  <si>
    <t>Придбання витратоміру Д 500 мм для встановлення на вузлі обліку води в с. В. Дальник, Одеського району, Одеської області</t>
  </si>
  <si>
    <t>1.2.2.3</t>
  </si>
  <si>
    <t>Придбання лічильника води для комерційного обліку</t>
  </si>
  <si>
    <t>Усього за підпунктом 1.2.2</t>
  </si>
  <si>
    <t>1.2.3</t>
  </si>
  <si>
    <t>Заходи щодо зменшення обсягу витрат води на технологічні потреби, з них:</t>
  </si>
  <si>
    <t>Усього за підпунктом 1.2.3</t>
  </si>
  <si>
    <t>1.2.4</t>
  </si>
  <si>
    <t>Заходи щодо підвищення якості послуг з централізованого водопостачання,  з них:</t>
  </si>
  <si>
    <t>1.2.4.1</t>
  </si>
  <si>
    <t>Будівництво (буріння) ариезіанської свердловини за адресою: Одеська область, Одеський район, с.Малодолинське, вул.Вишнева, 1-н</t>
  </si>
  <si>
    <t>Усього за підпунктом 1.2.4</t>
  </si>
  <si>
    <t>1.2.5</t>
  </si>
  <si>
    <t>Заходи щодо провадження та розвитку інформаційних технологій, з них:</t>
  </si>
  <si>
    <t>1.2.5.1</t>
  </si>
  <si>
    <t>Монтаж технічних засобів телекомунікацій за адресами: Одеська область, Одеський район, м. Чорноморськ, вул. Транспортна, 11 (проспект Миру, 41А)</t>
  </si>
  <si>
    <t>1.2.5.2</t>
  </si>
  <si>
    <t>Придбання серверу диспетчеризації та моніторингу з програмним забезпеченням</t>
  </si>
  <si>
    <t>1.2.5.3</t>
  </si>
  <si>
    <t>Створення інформаційно-розрахункового комплексу (геоінформаційної системи) інженерних мереж водопостачання та водовідведення з інтеграцією даних в спеціалізоване програмне забезпечення та трансформацією елементів графічних схем в відповідну систему координат з формуванням гідравлічної моделі мереж водопостачання та водовідведення м. Чорноморська</t>
  </si>
  <si>
    <t>1 ГІС</t>
  </si>
  <si>
    <t>Усього за підпунктом 1.2.5</t>
  </si>
  <si>
    <t>1.2.6</t>
  </si>
  <si>
    <t>Заходи щодо модернізації та закупівлі транспортних засобів спеціального та спеціалізованого призначення, з них:</t>
  </si>
  <si>
    <t>1.2.6.1</t>
  </si>
  <si>
    <t>Усього за підпунктом 1.2.6</t>
  </si>
  <si>
    <t>1.2.7</t>
  </si>
  <si>
    <t>Заходи щодо підвищення екологічної безпеки та охорони навколишнього середовища, з них:</t>
  </si>
  <si>
    <t>Усього за підпунктом 1.2.7</t>
  </si>
  <si>
    <t>1.2.8</t>
  </si>
  <si>
    <t>Інші заходи, з них:</t>
  </si>
  <si>
    <t>1.2.8.1</t>
  </si>
  <si>
    <t>Сертифікація підприємства</t>
  </si>
  <si>
    <t>1.2.8.2</t>
  </si>
  <si>
    <t>Експертиза раніше розроблених проєктів по водопостачанню</t>
  </si>
  <si>
    <t>проєкти</t>
  </si>
  <si>
    <t>1.2.8.3</t>
  </si>
  <si>
    <t>Проведення енергоаудиту будівель</t>
  </si>
  <si>
    <t>1,5 проєкта</t>
  </si>
  <si>
    <t>1.2.8.4</t>
  </si>
  <si>
    <t>Реконструкція водопровідної мережі по вул. Єдності в смт. Олександрівка,  м. Чорноморськ, Одеського району, Одеської області</t>
  </si>
  <si>
    <t>1 проєкт</t>
  </si>
  <si>
    <t>1.2.8.5</t>
  </si>
  <si>
    <t>Реконструкція водопровідної мережі по вул. Затишна в смт. Олександрівка,  м. Чорноморськ, Одеського району, Одеської області</t>
  </si>
  <si>
    <t>1.2.8.6</t>
  </si>
  <si>
    <t>Реконструкція водопровідної мережі по вул. Набережній в смт. Олександрівка,  м. Чорноморськ, Одеського району, Одеської області</t>
  </si>
  <si>
    <t>1.2.8.7</t>
  </si>
  <si>
    <r>
      <t xml:space="preserve">Реконструкція мереж водопроводу Ду 400 мм за адресою: Одеська область, Одеський район, м. Чорноморськ, по вул. 1 Травня від вул. Олександрійської до пр-ту Миру </t>
    </r>
    <r>
      <rPr>
        <i/>
        <sz val="10"/>
        <color indexed="8"/>
        <rFont val="Times New Roman"/>
        <family val="1"/>
      </rPr>
      <t xml:space="preserve">(проєктні роботи) </t>
    </r>
    <r>
      <rPr>
        <sz val="10"/>
        <color indexed="8"/>
        <rFont val="Times New Roman"/>
        <family val="1"/>
      </rPr>
      <t>(510м)</t>
    </r>
  </si>
  <si>
    <t>1.2.8.8</t>
  </si>
  <si>
    <r>
      <t xml:space="preserve">Реконструкція транзитного трубопроводу Д200мм за адресою: Одеська область, Одеський район, м. Чорноморськ, від вул. 1 Травня, 11 до проспекту Миру, 20а </t>
    </r>
    <r>
      <rPr>
        <i/>
        <sz val="10"/>
        <color indexed="8"/>
        <rFont val="Times New Roman"/>
        <family val="1"/>
      </rPr>
      <t>(проєктні роботи)</t>
    </r>
    <r>
      <rPr>
        <sz val="10"/>
        <color indexed="8"/>
        <rFont val="Times New Roman"/>
        <family val="1"/>
      </rPr>
      <t xml:space="preserve"> (250м)</t>
    </r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</si>
  <si>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</si>
  <si>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</si>
  <si>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</si>
  <si>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</si>
  <si>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</si>
  <si>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>2.2</t>
  </si>
  <si>
    <t xml:space="preserve"> Інші заходи  з урахуванням :</t>
  </si>
  <si>
    <t>2.2.1</t>
  </si>
  <si>
    <t>2.2.1.1</t>
  </si>
  <si>
    <r>
      <t xml:space="preserve">Будівництво ПЛ-10 кВ «Маяк» для електропостачання КОС </t>
    </r>
    <r>
      <rPr>
        <i/>
        <sz val="10"/>
        <color indexed="8"/>
        <rFont val="Times New Roman;serif"/>
        <family val="1"/>
      </rPr>
      <t>(частково – завершальні роботи)</t>
    </r>
  </si>
  <si>
    <t>172 м</t>
  </si>
  <si>
    <t>Усього за підпунктом 2.2.1</t>
  </si>
  <si>
    <t>2.2.2</t>
  </si>
  <si>
    <t>Усього за підпунктом2.2.2</t>
  </si>
  <si>
    <t>2.2.3</t>
  </si>
  <si>
    <t>2.2.3.1</t>
  </si>
  <si>
    <t>Усього за підпунктом 2.2.3</t>
  </si>
  <si>
    <t>2.2.4</t>
  </si>
  <si>
    <t>Усього за підпунктом 2.2.4</t>
  </si>
  <si>
    <t>2.2.5</t>
  </si>
  <si>
    <t>2.2.5.1</t>
  </si>
  <si>
    <t>Вентилятор на ГКНС</t>
  </si>
  <si>
    <t>2.2.5.2</t>
  </si>
  <si>
    <t>Заміна двигунів на повітродувках №2 та №3</t>
  </si>
  <si>
    <t>2.2.5.3</t>
  </si>
  <si>
    <r>
      <t xml:space="preserve">Капітальний ремонт каналізаційного колектору Ду 800мм за адресою: Одеська область,Одеський район, м. Чорноморськ, вул. 1 Травня (частково) - парк Молодіжний </t>
    </r>
    <r>
      <rPr>
        <i/>
        <sz val="10"/>
        <color indexed="8"/>
        <rFont val="Times New Roman"/>
        <family val="1"/>
      </rPr>
      <t>(проєктні роботи, експертиза, висновок по стану труби, будівельні роботи)</t>
    </r>
  </si>
  <si>
    <t>2.2.5.4</t>
  </si>
  <si>
    <t>Капітальний ремонт первинного відстійника на каналізаційних очисних спорудах м. Чорноморська за адресою: Одеська область, Одеський район, Дальницька сільська рада, комплекс будівель і споруд № 2 (за межами населеного пункту)</t>
  </si>
  <si>
    <t>1 споруда</t>
  </si>
  <si>
    <t>2.2.5.5</t>
  </si>
  <si>
    <t>Капітальний ремонт приймальної камери та лотків на каналізаційних очисних спорудах м. Чорноморська, що розташовані за адресою: Одеська область, Одеський район, Дальницька сільська рада, комплекс будівель та споруд №2 (за межами населеного пункту)</t>
  </si>
  <si>
    <t>2.2.5.6</t>
  </si>
  <si>
    <t>Придбання насосу для заміни на ГКНС</t>
  </si>
  <si>
    <t>2.2.5.7</t>
  </si>
  <si>
    <t>Придбання шиберних засувок Д 250 мм для реконструкції каналізаційних насосних станцій</t>
  </si>
  <si>
    <t>8 шт</t>
  </si>
  <si>
    <t>2.2.5.8</t>
  </si>
  <si>
    <t>Реконструкція  каналізаційного трубопроводу Д 160 мм за адресою: Одеська область, Одеський район, м. Чорноморськ, вул. Хантадзе, 2</t>
  </si>
  <si>
    <t>2.2.5.9</t>
  </si>
  <si>
    <r>
      <t>Реконструкція ділянки каналізаційного колектора Dn 200 мм за адресою: від вул. Данченка, 5 до пр-ту Миру, 11 в м. Чорноморську  Одеського району  Одеської області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(проєктні роботи, експертиза та будівельні роботи)</t>
    </r>
  </si>
  <si>
    <t>2.2.5.10</t>
  </si>
  <si>
    <t>Реконструкція каналізаційних колодязів з виносом каналізаційних мереж з будівельного майданчику приймального відділення КНП “Чорноморська лікарня”, корпус А за адресою: Одеська область, Одеський район, м. Чорноморськ, вул. В. Шума, 4</t>
  </si>
  <si>
    <t>54,5 м</t>
  </si>
  <si>
    <t>2.2.5.11</t>
  </si>
  <si>
    <r>
      <t>Реконструкція каналізаційних очисних споруд м.Чорноморська за адресою: Одеська обл., Овідіопольський район, Дальницька сільська рада, комплекс будівель та споруд № 2 (за межами населеного пункту)/Придбання мулошкребу для заміни на первинному відстійнику КОС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(придбання обладнання, шефмонтаж)</t>
    </r>
  </si>
  <si>
    <t>1шт</t>
  </si>
  <si>
    <t>2.2.5.12</t>
  </si>
  <si>
    <r>
      <t xml:space="preserve">Реконструкція каналізаційного трубопроводу Д150 мм за адресою: Одеська область, Одеський район, м.Чорноморськ, вул.Корабельна, 10 </t>
    </r>
    <r>
      <rPr>
        <i/>
        <sz val="10"/>
        <color indexed="8"/>
        <rFont val="Times New Roman"/>
        <family val="1"/>
      </rPr>
      <t>(проєктні роботи, експертиза, будівельні роботи)</t>
    </r>
  </si>
  <si>
    <t>2.2.5.13</t>
  </si>
  <si>
    <r>
      <t>Технічне переоснащення системи донної аерації першої секції аеротенка каналізаційних очисних споруд м. Чорноморська, розташованих за адресою: Одеська область, Овідіопольський район, Дальницька сільрада, комплекс будівель і споруд № 2 (за межами населеного пункту)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(частково – завершальні роботи)</t>
    </r>
  </si>
  <si>
    <t>2.2.5.14</t>
  </si>
  <si>
    <r>
      <t xml:space="preserve">Технічне переоснащення системи очищення каналізаційних стічних вод міста Чорноморськ Одеського району Одеської області </t>
    </r>
    <r>
      <rPr>
        <i/>
        <sz val="10"/>
        <color indexed="8"/>
        <rFont val="Times New Roman"/>
        <family val="1"/>
      </rPr>
      <t>(придбання повітродувки, будівельні роботи, заміна повітродувки)</t>
    </r>
  </si>
  <si>
    <t>1 к-т</t>
  </si>
  <si>
    <t>Усього за підпунктом 2.2.5</t>
  </si>
  <si>
    <t>2.2.6</t>
  </si>
  <si>
    <t>2.2.6.1</t>
  </si>
  <si>
    <t>2.2.6.2</t>
  </si>
  <si>
    <r>
      <t xml:space="preserve">Будівництво зливної станції рідких відходів </t>
    </r>
    <r>
      <rPr>
        <sz val="10"/>
        <color indexed="8"/>
        <rFont val="Times New Roman"/>
        <family val="1"/>
      </rPr>
      <t>за адресою: Одеська обл., Овідіопольський район, Дальницька сільська рада, комплекс будівель та споруд № 2 (за межами населеного пункту)</t>
    </r>
  </si>
  <si>
    <t>2.2.6.3</t>
  </si>
  <si>
    <t>Впровадження технології утилізації осаду на каналізаційних очисних спорудах м. Чорноморська: оснащення трактора навісним обладнанням (відвал, фронт, ківш)</t>
  </si>
  <si>
    <t>механізми та обладнання</t>
  </si>
  <si>
    <t>2.2.6.4</t>
  </si>
  <si>
    <t>Оплата ТУ на приєднання КОС (Обленерго)</t>
  </si>
  <si>
    <t>2.2.6.5</t>
  </si>
  <si>
    <t xml:space="preserve">Придбання котла твердопаливного </t>
  </si>
  <si>
    <t>2.2.6.6</t>
  </si>
  <si>
    <t>2.2.6.7</t>
  </si>
  <si>
    <r>
      <t xml:space="preserve">Реконструкція напірного каналізаційного колектору за адресою: Одеська область, Одеський район, м.Чорноморськ, від вул.Космонавтів, 59Г в с.Малодолинське до вул.Світла, 51 в смт.Олександрівка </t>
    </r>
    <r>
      <rPr>
        <i/>
        <sz val="10"/>
        <color indexed="8"/>
        <rFont val="Times New Roman"/>
        <family val="1"/>
      </rPr>
      <t>(проєктні роботи, проведення експертизи)</t>
    </r>
  </si>
  <si>
    <t>2.2.6.8</t>
  </si>
  <si>
    <t>Реконструкція ГКНС, що розташована за адресою: Одеська область, одеський район, м. Чорноморськ, вул. Паркова, 23</t>
  </si>
  <si>
    <t>2.2.6.9</t>
  </si>
  <si>
    <r>
      <t xml:space="preserve">Розроблення проєктів енергозбереження за результатами енергоаудиту на об'єкт “Будівля КП “Чорноморськводоканал” що знаходиться за адресою: </t>
    </r>
    <r>
      <rPr>
        <sz val="10"/>
        <color indexed="8"/>
        <rFont val="Times New Roman"/>
        <family val="1"/>
      </rPr>
      <t>Одеська обл., Овідіопольський район, Дальницька сільська рада, комплекс будівель та споруд № 2 (за межами населеного пункту)</t>
    </r>
  </si>
  <si>
    <t>Усього за підпунктом  2.2.6</t>
  </si>
  <si>
    <t>Усього за пунктом 2.2</t>
  </si>
  <si>
    <t>Усього за розділом ІІ</t>
  </si>
  <si>
    <t>Усього за інвестиційною програмою</t>
  </si>
  <si>
    <t>Примітки:  n* - кількість років інвестиційної програми.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</si>
  <si>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</si>
  <si>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</si>
  <si>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х- ліцензіатом  не заповнюється.</t>
  </si>
  <si>
    <r>
      <t xml:space="preserve">                          </t>
    </r>
    <r>
      <rPr>
        <u val="single"/>
        <sz val="10"/>
        <rFont val="Times New Roman"/>
        <family val="1"/>
      </rPr>
      <t xml:space="preserve"> Начальник ОПР     </t>
    </r>
    <r>
      <rPr>
        <sz val="10"/>
        <rFont val="Times New Roman"/>
        <family val="1"/>
      </rPr>
      <t xml:space="preserve">                                                                                     ___________________                                                       </t>
    </r>
    <r>
      <rPr>
        <u val="single"/>
        <sz val="10"/>
        <rFont val="Times New Roman"/>
        <family val="1"/>
      </rPr>
      <t xml:space="preserve">  Тетяна СКИДАН</t>
    </r>
  </si>
  <si>
    <t>(посада відповідального виконавця)</t>
  </si>
  <si>
    <t xml:space="preserve">                       (підпис)</t>
  </si>
  <si>
    <t xml:space="preserve">                                    (Власне ім’я, ПРИЗВИЩЕ)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</si>
</sst>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р.&quot;_-;\-* #,##0.00&quot;р.&quot;_-;_-* \-??&quot;р.&quot;_-;_-@_-"/>
    <numFmt numFmtId="166" formatCode="@"/>
    <numFmt numFmtId="167" formatCode="0.00"/>
    <numFmt numFmtId="168" formatCode="0"/>
    <numFmt numFmtId="169" formatCode="0.0"/>
    <numFmt numFmtId="170" formatCode="#,##0.00"/>
    <numFmt numFmtId="171" formatCode="#,##0"/>
    <numFmt numFmtId="172" formatCode="0.000"/>
    <numFmt numFmtId="173" formatCode="_-* #,##0.00\ _г_р_н_._-;\-* #,##0.00\ _г_р_н_._-;_-* \-??\ _г_р_н_._-;_-@_-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Times New Roman;serif"/>
      <family val="1"/>
    </font>
    <font>
      <i/>
      <sz val="10"/>
      <color indexed="8"/>
      <name val="Times New Roman;serif"/>
      <family val="1"/>
    </font>
    <font>
      <sz val="9"/>
      <color indexed="12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"/>
      <family val="1"/>
    </font>
    <font>
      <u val="single"/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21" borderId="8" applyNumberFormat="0" applyAlignment="0" applyProtection="0"/>
    <xf numFmtId="164" fontId="13" fillId="21" borderId="8" applyNumberFormat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6" fillId="20" borderId="1" applyNumberFormat="0" applyAlignment="0" applyProtection="0"/>
    <xf numFmtId="164" fontId="1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2" fillId="0" borderId="7" applyNumberFormat="0" applyFill="0" applyAlignment="0" applyProtection="0"/>
    <xf numFmtId="164" fontId="5" fillId="20" borderId="2" applyNumberFormat="0" applyAlignment="0" applyProtection="0"/>
    <xf numFmtId="164" fontId="11" fillId="0" borderId="6" applyNumberFormat="0" applyFill="0" applyAlignment="0" applyProtection="0"/>
    <xf numFmtId="164" fontId="15" fillId="22" borderId="0" applyNumberFormat="0" applyBorder="0" applyAlignment="0" applyProtection="0"/>
    <xf numFmtId="164" fontId="18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2" fillId="0" borderId="0">
      <alignment/>
      <protection/>
    </xf>
  </cellStyleXfs>
  <cellXfs count="137">
    <xf numFmtId="164" fontId="0" fillId="0" borderId="0" xfId="0" applyAlignment="1">
      <alignment/>
    </xf>
    <xf numFmtId="165" fontId="19" fillId="0" borderId="0" xfId="0" applyNumberFormat="1" applyFont="1" applyFill="1" applyAlignment="1">
      <alignment horizontal="center" wrapText="1"/>
    </xf>
    <xf numFmtId="164" fontId="20" fillId="0" borderId="0" xfId="0" applyFont="1" applyFill="1" applyAlignment="1">
      <alignment wrapText="1"/>
    </xf>
    <xf numFmtId="164" fontId="19" fillId="0" borderId="0" xfId="0" applyFont="1" applyFill="1" applyAlignment="1">
      <alignment horizontal="center" wrapText="1"/>
    </xf>
    <xf numFmtId="164" fontId="19" fillId="0" borderId="0" xfId="0" applyFont="1" applyFill="1" applyAlignment="1">
      <alignment wrapText="1"/>
    </xf>
    <xf numFmtId="164" fontId="19" fillId="0" borderId="0" xfId="0" applyFont="1" applyFill="1" applyBorder="1" applyAlignment="1">
      <alignment wrapText="1"/>
    </xf>
    <xf numFmtId="164" fontId="20" fillId="0" borderId="0" xfId="0" applyFont="1" applyAlignment="1">
      <alignment wrapText="1"/>
    </xf>
    <xf numFmtId="164" fontId="19" fillId="0" borderId="0" xfId="0" applyFont="1" applyFill="1" applyBorder="1" applyAlignment="1">
      <alignment horizontal="left" vertical="center" wrapText="1"/>
    </xf>
    <xf numFmtId="164" fontId="21" fillId="0" borderId="0" xfId="100" applyFont="1" applyBorder="1" applyAlignment="1">
      <alignment horizontal="center" wrapText="1"/>
      <protection/>
    </xf>
    <xf numFmtId="164" fontId="2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Alignment="1">
      <alignment horizontal="left" vertical="center" wrapText="1"/>
    </xf>
    <xf numFmtId="164" fontId="23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25" fillId="0" borderId="0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 horizontal="left" vertical="center" wrapText="1"/>
    </xf>
    <xf numFmtId="164" fontId="19" fillId="0" borderId="0" xfId="0" applyFont="1" applyFill="1" applyAlignment="1">
      <alignment vertical="top" wrapText="1"/>
    </xf>
    <xf numFmtId="164" fontId="27" fillId="0" borderId="0" xfId="0" applyFont="1" applyFill="1" applyBorder="1" applyAlignment="1">
      <alignment horizontal="center" vertical="top" wrapText="1"/>
    </xf>
    <xf numFmtId="164" fontId="21" fillId="0" borderId="0" xfId="0" applyFont="1" applyFill="1" applyBorder="1" applyAlignment="1">
      <alignment horizontal="left" vertical="top" wrapText="1"/>
    </xf>
    <xf numFmtId="164" fontId="28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Alignment="1">
      <alignment vertical="top" wrapText="1"/>
    </xf>
    <xf numFmtId="164" fontId="27" fillId="0" borderId="0" xfId="0" applyFont="1" applyFill="1" applyAlignment="1">
      <alignment vertical="top" wrapText="1"/>
    </xf>
    <xf numFmtId="164" fontId="27" fillId="0" borderId="0" xfId="0" applyFont="1" applyFill="1" applyBorder="1" applyAlignment="1">
      <alignment horizontal="right" vertical="top" wrapText="1"/>
    </xf>
    <xf numFmtId="164" fontId="22" fillId="0" borderId="0" xfId="0" applyFont="1" applyFill="1" applyAlignment="1">
      <alignment horizontal="left" vertical="top" wrapText="1"/>
    </xf>
    <xf numFmtId="164" fontId="21" fillId="0" borderId="0" xfId="100" applyFont="1" applyAlignment="1">
      <alignment horizontal="left" wrapText="1"/>
      <protection/>
    </xf>
    <xf numFmtId="164" fontId="30" fillId="0" borderId="0" xfId="100" applyFont="1" applyBorder="1" applyAlignment="1">
      <alignment horizontal="center" wrapText="1"/>
      <protection/>
    </xf>
    <xf numFmtId="164" fontId="31" fillId="0" borderId="0" xfId="0" applyFont="1" applyFill="1" applyBorder="1" applyAlignment="1">
      <alignment horizontal="left" wrapText="1"/>
    </xf>
    <xf numFmtId="164" fontId="30" fillId="0" borderId="0" xfId="100" applyFont="1" applyAlignment="1">
      <alignment horizontal="center" wrapText="1"/>
      <protection/>
    </xf>
    <xf numFmtId="164" fontId="23" fillId="0" borderId="0" xfId="100" applyFont="1" applyAlignment="1">
      <alignment wrapText="1"/>
      <protection/>
    </xf>
    <xf numFmtId="164" fontId="21" fillId="0" borderId="0" xfId="0" applyFont="1" applyFill="1" applyAlignment="1">
      <alignment horizontal="left" wrapText="1"/>
    </xf>
    <xf numFmtId="164" fontId="19" fillId="0" borderId="0" xfId="0" applyFont="1" applyFill="1" applyAlignment="1">
      <alignment horizontal="center" vertical="top" wrapText="1"/>
    </xf>
    <xf numFmtId="164" fontId="19" fillId="0" borderId="0" xfId="0" applyFont="1" applyFill="1" applyBorder="1" applyAlignment="1">
      <alignment horizontal="center" wrapText="1"/>
    </xf>
    <xf numFmtId="164" fontId="32" fillId="0" borderId="0" xfId="0" applyFont="1" applyFill="1" applyBorder="1" applyAlignment="1">
      <alignment horizontal="center" wrapText="1"/>
    </xf>
    <xf numFmtId="164" fontId="33" fillId="0" borderId="0" xfId="0" applyFont="1" applyFill="1" applyBorder="1" applyAlignment="1">
      <alignment horizontal="center" wrapText="1"/>
    </xf>
    <xf numFmtId="164" fontId="30" fillId="0" borderId="10" xfId="0" applyFont="1" applyFill="1" applyBorder="1" applyAlignment="1">
      <alignment horizontal="center" vertical="top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textRotation="90" wrapText="1"/>
    </xf>
    <xf numFmtId="164" fontId="19" fillId="0" borderId="11" xfId="0" applyFont="1" applyFill="1" applyBorder="1" applyAlignment="1">
      <alignment horizontal="center" wrapText="1"/>
    </xf>
    <xf numFmtId="164" fontId="19" fillId="0" borderId="11" xfId="56" applyFont="1" applyFill="1" applyBorder="1" applyAlignment="1" applyProtection="1">
      <alignment horizontal="center" vertical="center" wrapText="1"/>
      <protection locked="0"/>
    </xf>
    <xf numFmtId="164" fontId="34" fillId="0" borderId="11" xfId="0" applyNumberFormat="1" applyFont="1" applyFill="1" applyBorder="1" applyAlignment="1">
      <alignment horizontal="center" wrapText="1"/>
    </xf>
    <xf numFmtId="164" fontId="35" fillId="0" borderId="11" xfId="0" applyFont="1" applyFill="1" applyBorder="1" applyAlignment="1">
      <alignment horizontal="center" wrapText="1"/>
    </xf>
    <xf numFmtId="164" fontId="34" fillId="0" borderId="11" xfId="0" applyFont="1" applyFill="1" applyBorder="1" applyAlignment="1">
      <alignment horizontal="center" wrapText="1"/>
    </xf>
    <xf numFmtId="164" fontId="34" fillId="0" borderId="11" xfId="0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wrapText="1"/>
    </xf>
    <xf numFmtId="164" fontId="35" fillId="0" borderId="11" xfId="56" applyNumberFormat="1" applyFont="1" applyFill="1" applyBorder="1" applyAlignment="1" applyProtection="1">
      <alignment horizontal="center" vertical="center" wrapText="1"/>
      <protection/>
    </xf>
    <xf numFmtId="164" fontId="20" fillId="0" borderId="11" xfId="56" applyNumberFormat="1" applyFont="1" applyFill="1" applyBorder="1" applyAlignment="1" applyProtection="1">
      <alignment horizontal="center" vertical="center" wrapText="1"/>
      <protection/>
    </xf>
    <xf numFmtId="164" fontId="21" fillId="0" borderId="11" xfId="100" applyFont="1" applyFill="1" applyBorder="1" applyAlignment="1">
      <alignment horizontal="left" vertical="top" wrapText="1"/>
      <protection/>
    </xf>
    <xf numFmtId="167" fontId="30" fillId="0" borderId="11" xfId="100" applyNumberFormat="1" applyFont="1" applyFill="1" applyBorder="1" applyAlignment="1">
      <alignment horizontal="center" vertical="top" wrapText="1"/>
      <protection/>
    </xf>
    <xf numFmtId="167" fontId="19" fillId="0" borderId="11" xfId="0" applyNumberFormat="1" applyFont="1" applyFill="1" applyBorder="1" applyAlignment="1">
      <alignment horizontal="right" vertical="top" wrapText="1"/>
    </xf>
    <xf numFmtId="164" fontId="19" fillId="0" borderId="11" xfId="56" applyNumberFormat="1" applyFont="1" applyFill="1" applyBorder="1" applyAlignment="1" applyProtection="1">
      <alignment horizontal="center" vertical="top" wrapText="1"/>
      <protection/>
    </xf>
    <xf numFmtId="164" fontId="19" fillId="0" borderId="11" xfId="56" applyNumberFormat="1" applyFont="1" applyFill="1" applyBorder="1" applyAlignment="1" applyProtection="1">
      <alignment horizontal="right" vertical="top" wrapText="1"/>
      <protection/>
    </xf>
    <xf numFmtId="164" fontId="19" fillId="0" borderId="0" xfId="0" applyFont="1" applyFill="1" applyAlignment="1">
      <alignment vertical="center" wrapText="1"/>
    </xf>
    <xf numFmtId="167" fontId="19" fillId="0" borderId="11" xfId="0" applyNumberFormat="1" applyFont="1" applyFill="1" applyBorder="1" applyAlignment="1">
      <alignment horizontal="center" vertical="top" wrapText="1"/>
    </xf>
    <xf numFmtId="168" fontId="19" fillId="0" borderId="11" xfId="0" applyNumberFormat="1" applyFont="1" applyFill="1" applyBorder="1" applyAlignment="1">
      <alignment horizontal="right" vertical="top" wrapText="1"/>
    </xf>
    <xf numFmtId="164" fontId="21" fillId="0" borderId="11" xfId="100" applyFont="1" applyFill="1" applyBorder="1" applyAlignment="1">
      <alignment vertical="top" wrapText="1"/>
      <protection/>
    </xf>
    <xf numFmtId="164" fontId="21" fillId="0" borderId="11" xfId="0" applyFont="1" applyFill="1" applyBorder="1" applyAlignment="1">
      <alignment vertical="top" wrapText="1"/>
    </xf>
    <xf numFmtId="164" fontId="30" fillId="0" borderId="11" xfId="0" applyFont="1" applyFill="1" applyBorder="1" applyAlignment="1">
      <alignment horizontal="center" vertical="top" wrapText="1"/>
    </xf>
    <xf numFmtId="167" fontId="19" fillId="0" borderId="11" xfId="56" applyNumberFormat="1" applyFont="1" applyFill="1" applyBorder="1" applyAlignment="1" applyProtection="1">
      <alignment horizontal="center" vertical="top" wrapText="1"/>
      <protection/>
    </xf>
    <xf numFmtId="164" fontId="20" fillId="0" borderId="11" xfId="0" applyFont="1" applyFill="1" applyBorder="1" applyAlignment="1">
      <alignment vertical="top" wrapText="1"/>
    </xf>
    <xf numFmtId="164" fontId="20" fillId="0" borderId="11" xfId="0" applyFont="1" applyFill="1" applyBorder="1" applyAlignment="1">
      <alignment vertical="top" wrapText="1"/>
    </xf>
    <xf numFmtId="164" fontId="21" fillId="0" borderId="11" xfId="100" applyFont="1" applyFill="1" applyBorder="1" applyAlignment="1">
      <alignment horizontal="left" vertical="top" wrapText="1"/>
      <protection/>
    </xf>
    <xf numFmtId="165" fontId="34" fillId="0" borderId="11" xfId="0" applyNumberFormat="1" applyFont="1" applyFill="1" applyBorder="1" applyAlignment="1">
      <alignment horizontal="center" wrapText="1"/>
    </xf>
    <xf numFmtId="167" fontId="19" fillId="2" borderId="11" xfId="0" applyNumberFormat="1" applyFont="1" applyFill="1" applyBorder="1" applyAlignment="1">
      <alignment horizontal="right" vertical="top" wrapText="1"/>
    </xf>
    <xf numFmtId="168" fontId="19" fillId="2" borderId="11" xfId="0" applyNumberFormat="1" applyFont="1" applyFill="1" applyBorder="1" applyAlignment="1">
      <alignment horizontal="right" vertical="top" wrapText="1"/>
    </xf>
    <xf numFmtId="167" fontId="19" fillId="0" borderId="11" xfId="56" applyNumberFormat="1" applyFont="1" applyFill="1" applyBorder="1" applyAlignment="1" applyProtection="1">
      <alignment horizontal="right" vertical="top" wrapText="1"/>
      <protection/>
    </xf>
    <xf numFmtId="164" fontId="21" fillId="0" borderId="11" xfId="100" applyFont="1" applyBorder="1" applyAlignment="1">
      <alignment vertical="top" wrapText="1"/>
      <protection/>
    </xf>
    <xf numFmtId="167" fontId="30" fillId="0" borderId="11" xfId="100" applyNumberFormat="1" applyFont="1" applyBorder="1" applyAlignment="1">
      <alignment horizontal="center" vertical="top" wrapText="1"/>
      <protection/>
    </xf>
    <xf numFmtId="164" fontId="20" fillId="0" borderId="11" xfId="0" applyFont="1" applyFill="1" applyBorder="1" applyAlignment="1">
      <alignment horizontal="center" wrapText="1"/>
    </xf>
    <xf numFmtId="169" fontId="19" fillId="2" borderId="11" xfId="0" applyNumberFormat="1" applyFont="1" applyFill="1" applyBorder="1" applyAlignment="1">
      <alignment horizontal="right" vertical="top" wrapText="1"/>
    </xf>
    <xf numFmtId="164" fontId="19" fillId="0" borderId="11" xfId="0" applyFont="1" applyFill="1" applyBorder="1" applyAlignment="1">
      <alignment horizontal="center" vertical="top" wrapText="1"/>
    </xf>
    <xf numFmtId="164" fontId="19" fillId="0" borderId="11" xfId="0" applyFont="1" applyFill="1" applyBorder="1" applyAlignment="1">
      <alignment horizontal="right" vertical="top" wrapText="1"/>
    </xf>
    <xf numFmtId="164" fontId="19" fillId="0" borderId="11" xfId="0" applyFont="1" applyFill="1" applyBorder="1" applyAlignment="1">
      <alignment horizontal="center" vertical="top"/>
    </xf>
    <xf numFmtId="164" fontId="20" fillId="0" borderId="11" xfId="0" applyFont="1" applyFill="1" applyBorder="1" applyAlignment="1">
      <alignment wrapText="1"/>
    </xf>
    <xf numFmtId="164" fontId="19" fillId="0" borderId="0" xfId="0" applyFont="1" applyFill="1" applyBorder="1" applyAlignment="1">
      <alignment vertical="center" wrapText="1"/>
    </xf>
    <xf numFmtId="164" fontId="20" fillId="0" borderId="11" xfId="0" applyFont="1" applyFill="1" applyBorder="1" applyAlignment="1">
      <alignment horizontal="left" vertical="center" wrapText="1"/>
    </xf>
    <xf numFmtId="170" fontId="19" fillId="0" borderId="11" xfId="0" applyNumberFormat="1" applyFont="1" applyFill="1" applyBorder="1" applyAlignment="1">
      <alignment horizontal="right" vertical="top" wrapText="1"/>
    </xf>
    <xf numFmtId="164" fontId="37" fillId="0" borderId="11" xfId="100" applyFont="1" applyBorder="1" applyAlignment="1">
      <alignment vertical="top" wrapText="1"/>
      <protection/>
    </xf>
    <xf numFmtId="164" fontId="21" fillId="0" borderId="11" xfId="100" applyFont="1" applyFill="1" applyBorder="1" applyAlignment="1">
      <alignment vertical="top" wrapText="1"/>
      <protection/>
    </xf>
    <xf numFmtId="167" fontId="19" fillId="23" borderId="11" xfId="0" applyNumberFormat="1" applyFont="1" applyFill="1" applyBorder="1" applyAlignment="1">
      <alignment horizontal="right" vertical="top" wrapText="1"/>
    </xf>
    <xf numFmtId="164" fontId="19" fillId="23" borderId="11" xfId="0" applyNumberFormat="1" applyFont="1" applyFill="1" applyBorder="1" applyAlignment="1">
      <alignment horizontal="right" vertical="top" wrapText="1"/>
    </xf>
    <xf numFmtId="168" fontId="19" fillId="23" borderId="11" xfId="0" applyNumberFormat="1" applyFont="1" applyFill="1" applyBorder="1" applyAlignment="1">
      <alignment horizontal="right" vertical="top" wrapText="1"/>
    </xf>
    <xf numFmtId="167" fontId="34" fillId="6" borderId="11" xfId="0" applyNumberFormat="1" applyFont="1" applyFill="1" applyBorder="1" applyAlignment="1">
      <alignment horizontal="right" vertical="top" wrapText="1"/>
    </xf>
    <xf numFmtId="164" fontId="19" fillId="0" borderId="0" xfId="0" applyFont="1" applyAlignment="1">
      <alignment wrapText="1"/>
    </xf>
    <xf numFmtId="165" fontId="19" fillId="0" borderId="11" xfId="0" applyNumberFormat="1" applyFont="1" applyFill="1" applyBorder="1" applyAlignment="1">
      <alignment horizontal="center" wrapText="1"/>
    </xf>
    <xf numFmtId="164" fontId="38" fillId="0" borderId="11" xfId="0" applyFont="1" applyFill="1" applyBorder="1" applyAlignment="1">
      <alignment horizontal="center" wrapText="1"/>
    </xf>
    <xf numFmtId="164" fontId="20" fillId="0" borderId="0" xfId="0" applyFont="1" applyFill="1" applyAlignment="1">
      <alignment vertical="center" wrapText="1"/>
    </xf>
    <xf numFmtId="164" fontId="39" fillId="0" borderId="11" xfId="56" applyNumberFormat="1" applyFont="1" applyFill="1" applyBorder="1" applyAlignment="1" applyProtection="1">
      <alignment horizontal="center" vertical="center" wrapText="1"/>
      <protection/>
    </xf>
    <xf numFmtId="164" fontId="40" fillId="0" borderId="11" xfId="0" applyFont="1" applyFill="1" applyBorder="1" applyAlignment="1">
      <alignment wrapText="1"/>
    </xf>
    <xf numFmtId="164" fontId="42" fillId="0" borderId="11" xfId="56" applyNumberFormat="1" applyFont="1" applyFill="1" applyBorder="1" applyAlignment="1" applyProtection="1">
      <alignment horizontal="center" vertical="top" wrapText="1"/>
      <protection/>
    </xf>
    <xf numFmtId="164" fontId="42" fillId="0" borderId="11" xfId="56" applyNumberFormat="1" applyFont="1" applyFill="1" applyBorder="1" applyAlignment="1" applyProtection="1">
      <alignment horizontal="right" vertical="top" wrapText="1"/>
      <protection/>
    </xf>
    <xf numFmtId="164" fontId="19" fillId="2" borderId="11" xfId="0" applyFont="1" applyFill="1" applyBorder="1" applyAlignment="1">
      <alignment horizontal="right" vertical="top" wrapText="1"/>
    </xf>
    <xf numFmtId="164" fontId="39" fillId="0" borderId="11" xfId="0" applyFont="1" applyFill="1" applyBorder="1" applyAlignment="1">
      <alignment horizontal="center" wrapText="1"/>
    </xf>
    <xf numFmtId="171" fontId="30" fillId="0" borderId="11" xfId="100" applyNumberFormat="1" applyFont="1" applyBorder="1" applyAlignment="1">
      <alignment horizontal="right" vertical="top" wrapText="1"/>
      <protection/>
    </xf>
    <xf numFmtId="164" fontId="30" fillId="0" borderId="11" xfId="100" applyFont="1" applyFill="1" applyBorder="1" applyAlignment="1">
      <alignment horizontal="center" vertical="top" wrapText="1"/>
      <protection/>
    </xf>
    <xf numFmtId="172" fontId="30" fillId="0" borderId="11" xfId="100" applyNumberFormat="1" applyFont="1" applyFill="1" applyBorder="1" applyAlignment="1">
      <alignment vertical="top" wrapText="1"/>
      <protection/>
    </xf>
    <xf numFmtId="170" fontId="30" fillId="0" borderId="11" xfId="100" applyNumberFormat="1" applyFont="1" applyFill="1" applyBorder="1" applyAlignment="1">
      <alignment horizontal="right" vertical="top" wrapText="1"/>
      <protection/>
    </xf>
    <xf numFmtId="164" fontId="21" fillId="0" borderId="11" xfId="0" applyFont="1" applyFill="1" applyBorder="1" applyAlignment="1">
      <alignment vertical="top" wrapText="1"/>
    </xf>
    <xf numFmtId="167" fontId="30" fillId="0" borderId="11" xfId="100" applyNumberFormat="1" applyFont="1" applyFill="1" applyBorder="1" applyAlignment="1">
      <alignment horizontal="right" vertical="top" wrapText="1"/>
      <protection/>
    </xf>
    <xf numFmtId="171" fontId="19" fillId="0" borderId="11" xfId="0" applyNumberFormat="1" applyFont="1" applyFill="1" applyBorder="1" applyAlignment="1">
      <alignment horizontal="center" vertical="top" wrapText="1"/>
    </xf>
    <xf numFmtId="164" fontId="20" fillId="0" borderId="11" xfId="0" applyFont="1" applyFill="1" applyBorder="1" applyAlignment="1">
      <alignment wrapText="1"/>
    </xf>
    <xf numFmtId="164" fontId="21" fillId="0" borderId="11" xfId="100" applyFont="1" applyFill="1" applyBorder="1" applyAlignment="1">
      <alignment horizontal="left" wrapText="1"/>
      <protection/>
    </xf>
    <xf numFmtId="164" fontId="45" fillId="0" borderId="11" xfId="100" applyFont="1" applyFill="1" applyBorder="1" applyAlignment="1">
      <alignment wrapText="1"/>
      <protection/>
    </xf>
    <xf numFmtId="164" fontId="19" fillId="0" borderId="11" xfId="0" applyFont="1" applyFill="1" applyBorder="1" applyAlignment="1">
      <alignment vertical="top"/>
    </xf>
    <xf numFmtId="164" fontId="42" fillId="0" borderId="11" xfId="0" applyFont="1" applyFill="1" applyBorder="1" applyAlignment="1">
      <alignment horizontal="right" vertical="top" wrapText="1"/>
    </xf>
    <xf numFmtId="164" fontId="21" fillId="0" borderId="11" xfId="100" applyFont="1" applyFill="1" applyBorder="1" applyAlignment="1">
      <alignment wrapText="1"/>
      <protection/>
    </xf>
    <xf numFmtId="164" fontId="42" fillId="0" borderId="11" xfId="0" applyFont="1" applyFill="1" applyBorder="1" applyAlignment="1">
      <alignment horizontal="right" vertical="center" wrapText="1"/>
    </xf>
    <xf numFmtId="167" fontId="19" fillId="0" borderId="11" xfId="0" applyNumberFormat="1" applyFont="1" applyFill="1" applyBorder="1" applyAlignment="1">
      <alignment horizontal="right" vertical="center" wrapText="1"/>
    </xf>
    <xf numFmtId="168" fontId="34" fillId="6" borderId="11" xfId="0" applyNumberFormat="1" applyFont="1" applyFill="1" applyBorder="1" applyAlignment="1">
      <alignment horizontal="right" vertical="top" wrapText="1"/>
    </xf>
    <xf numFmtId="167" fontId="34" fillId="2" borderId="11" xfId="0" applyNumberFormat="1" applyFont="1" applyFill="1" applyBorder="1" applyAlignment="1">
      <alignment horizontal="right" vertical="top" wrapText="1"/>
    </xf>
    <xf numFmtId="168" fontId="34" fillId="2" borderId="11" xfId="0" applyNumberFormat="1" applyFont="1" applyFill="1" applyBorder="1" applyAlignment="1">
      <alignment horizontal="right" vertical="top" wrapText="1"/>
    </xf>
    <xf numFmtId="164" fontId="19" fillId="0" borderId="0" xfId="0" applyFont="1" applyFill="1" applyBorder="1" applyAlignment="1">
      <alignment horizontal="left" vertical="top" wrapText="1"/>
    </xf>
    <xf numFmtId="164" fontId="19" fillId="0" borderId="0" xfId="0" applyFont="1" applyFill="1" applyBorder="1" applyAlignment="1">
      <alignment horizontal="center" vertical="top" wrapText="1"/>
    </xf>
    <xf numFmtId="164" fontId="19" fillId="0" borderId="0" xfId="0" applyFont="1" applyFill="1" applyBorder="1" applyAlignment="1">
      <alignment horizontal="left"/>
    </xf>
    <xf numFmtId="164" fontId="20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vertical="top"/>
    </xf>
    <xf numFmtId="164" fontId="34" fillId="0" borderId="0" xfId="0" applyFont="1" applyFill="1" applyBorder="1" applyAlignment="1">
      <alignment horizontal="center" vertical="top"/>
    </xf>
    <xf numFmtId="164" fontId="19" fillId="0" borderId="0" xfId="0" applyFont="1" applyFill="1" applyBorder="1" applyAlignment="1">
      <alignment vertical="top"/>
    </xf>
    <xf numFmtId="164" fontId="19" fillId="0" borderId="0" xfId="0" applyFont="1" applyFill="1" applyBorder="1" applyAlignment="1">
      <alignment horizontal="right" vertical="top"/>
    </xf>
    <xf numFmtId="164" fontId="34" fillId="0" borderId="0" xfId="0" applyFont="1" applyFill="1" applyBorder="1" applyAlignment="1">
      <alignment horizontal="center" vertical="top" wrapText="1"/>
    </xf>
    <xf numFmtId="164" fontId="19" fillId="0" borderId="0" xfId="0" applyFont="1" applyFill="1" applyAlignment="1">
      <alignment horizontal="right" vertical="top" wrapText="1"/>
    </xf>
    <xf numFmtId="164" fontId="34" fillId="0" borderId="0" xfId="0" applyFont="1" applyFill="1" applyBorder="1" applyAlignment="1">
      <alignment horizontal="right" vertical="top" wrapText="1"/>
    </xf>
    <xf numFmtId="165" fontId="30" fillId="0" borderId="0" xfId="0" applyNumberFormat="1" applyFont="1" applyFill="1" applyBorder="1" applyAlignment="1">
      <alignment horizontal="left" vertical="top"/>
    </xf>
    <xf numFmtId="165" fontId="19" fillId="0" borderId="0" xfId="0" applyNumberFormat="1" applyFont="1" applyFill="1" applyAlignment="1">
      <alignment horizontal="center"/>
    </xf>
    <xf numFmtId="164" fontId="21" fillId="0" borderId="0" xfId="0" applyFont="1" applyFill="1" applyAlignment="1">
      <alignment/>
    </xf>
    <xf numFmtId="164" fontId="30" fillId="0" borderId="0" xfId="0" applyFont="1" applyFill="1" applyAlignment="1">
      <alignment wrapText="1"/>
    </xf>
    <xf numFmtId="164" fontId="30" fillId="0" borderId="0" xfId="0" applyFont="1" applyFill="1" applyAlignment="1">
      <alignment vertical="top" wrapText="1"/>
    </xf>
    <xf numFmtId="173" fontId="30" fillId="0" borderId="0" xfId="15" applyFont="1" applyFill="1" applyBorder="1" applyAlignment="1" applyProtection="1">
      <alignment vertical="top" wrapText="1"/>
      <protection/>
    </xf>
    <xf numFmtId="164" fontId="19" fillId="0" borderId="0" xfId="0" applyFont="1" applyFill="1" applyBorder="1" applyAlignment="1">
      <alignment horizontal="right" vertical="top" wrapText="1"/>
    </xf>
    <xf numFmtId="164" fontId="20" fillId="0" borderId="0" xfId="0" applyFont="1" applyFill="1" applyBorder="1" applyAlignment="1">
      <alignment horizontal="left"/>
    </xf>
    <xf numFmtId="164" fontId="20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left" wrapText="1"/>
    </xf>
    <xf numFmtId="165" fontId="20" fillId="0" borderId="0" xfId="0" applyNumberFormat="1" applyFont="1" applyFill="1" applyBorder="1" applyAlignment="1">
      <alignment horizontal="left" wrapText="1"/>
    </xf>
    <xf numFmtId="164" fontId="47" fillId="0" borderId="0" xfId="0" applyFont="1" applyFill="1" applyBorder="1" applyAlignment="1">
      <alignment horizontal="left" vertical="top" wrapText="1"/>
    </xf>
    <xf numFmtId="164" fontId="20" fillId="0" borderId="0" xfId="0" applyFont="1" applyAlignment="1">
      <alignment/>
    </xf>
    <xf numFmtId="164" fontId="19" fillId="0" borderId="0" xfId="0" applyFont="1" applyFill="1" applyBorder="1" applyAlignment="1">
      <alignment vertical="top" wrapText="1"/>
    </xf>
  </cellXfs>
  <cellStyles count="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– Акцентування1" xfId="38"/>
    <cellStyle name="40% – Акцентування2" xfId="39"/>
    <cellStyle name="40% – Акцентування3" xfId="40"/>
    <cellStyle name="40% – Акцентування4" xfId="41"/>
    <cellStyle name="40% – Акцентування5" xfId="42"/>
    <cellStyle name="40% – Акцентування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Iau?iue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од " xfId="69"/>
    <cellStyle name="Ввід" xfId="70"/>
    <cellStyle name="Вывод" xfId="71"/>
    <cellStyle name="Вычисление" xfId="72"/>
    <cellStyle name="Добре 1" xfId="73"/>
    <cellStyle name="Заголовок 1 1" xfId="74"/>
    <cellStyle name="Заголовок 2 1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Плохой" xfId="87"/>
    <cellStyle name="Поганий" xfId="88"/>
    <cellStyle name="Пояснение" xfId="89"/>
    <cellStyle name="Примечание" xfId="90"/>
    <cellStyle name="Примітка 1" xfId="91"/>
    <cellStyle name="Підсумок" xfId="92"/>
    <cellStyle name="Результат 1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Хороший" xfId="99"/>
    <cellStyle name="Excel Built-in Normal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="102" zoomScaleNormal="102" workbookViewId="0" topLeftCell="A8">
      <selection activeCell="A14" sqref="A14:U112"/>
    </sheetView>
  </sheetViews>
  <sheetFormatPr defaultColWidth="9.00390625" defaultRowHeight="12.75"/>
  <cols>
    <col min="1" max="1" width="7.00390625" style="1" customWidth="1"/>
    <col min="2" max="2" width="33.625" style="2" customWidth="1"/>
    <col min="3" max="3" width="9.00390625" style="3" customWidth="1"/>
    <col min="4" max="4" width="7.75390625" style="4" customWidth="1"/>
    <col min="5" max="5" width="7.375" style="4" customWidth="1"/>
    <col min="6" max="6" width="9.00390625" style="4" customWidth="1"/>
    <col min="7" max="7" width="8.125" style="4" customWidth="1"/>
    <col min="8" max="9" width="10.25390625" style="4" customWidth="1"/>
    <col min="10" max="10" width="8.75390625" style="4" customWidth="1"/>
    <col min="11" max="11" width="8.625" style="4" customWidth="1"/>
    <col min="12" max="12" width="7.375" style="4" customWidth="1"/>
    <col min="13" max="13" width="7.625" style="4" customWidth="1"/>
    <col min="14" max="14" width="6.375" style="4" customWidth="1"/>
    <col min="15" max="15" width="0" style="4" hidden="1" customWidth="1"/>
    <col min="16" max="16" width="6.50390625" style="4" customWidth="1"/>
    <col min="17" max="17" width="7.50390625" style="4" customWidth="1"/>
    <col min="18" max="18" width="4.375" style="4" customWidth="1"/>
    <col min="19" max="19" width="6.50390625" style="5" customWidth="1"/>
    <col min="20" max="20" width="5.375" style="5" customWidth="1"/>
    <col min="21" max="21" width="9.125" style="5" customWidth="1"/>
    <col min="22" max="255" width="9.125" style="4" customWidth="1"/>
    <col min="256" max="16384" width="11.625" style="6" customWidth="1"/>
  </cols>
  <sheetData>
    <row r="1" spans="12:21" ht="12.75" customHeight="1">
      <c r="L1" s="3"/>
      <c r="M1" s="3"/>
      <c r="N1" s="7" t="s">
        <v>0</v>
      </c>
      <c r="O1" s="7"/>
      <c r="P1" s="7"/>
      <c r="Q1" s="7"/>
      <c r="R1" s="7"/>
      <c r="S1" s="7"/>
      <c r="T1" s="7"/>
      <c r="U1" s="7"/>
    </row>
    <row r="2" spans="12:21" ht="12.75">
      <c r="L2" s="3"/>
      <c r="M2" s="3"/>
      <c r="N2" s="7"/>
      <c r="O2" s="7"/>
      <c r="P2" s="7"/>
      <c r="Q2" s="7"/>
      <c r="R2" s="7"/>
      <c r="S2" s="7"/>
      <c r="T2" s="7"/>
      <c r="U2" s="7"/>
    </row>
    <row r="3" spans="2:21" ht="12.75" customHeight="1">
      <c r="B3" s="8" t="s">
        <v>1</v>
      </c>
      <c r="C3" s="8"/>
      <c r="D3" s="8"/>
      <c r="E3" s="8"/>
      <c r="K3" s="9" t="s">
        <v>2</v>
      </c>
      <c r="L3" s="9"/>
      <c r="M3" s="9"/>
      <c r="N3" s="9"/>
      <c r="O3" s="9"/>
      <c r="P3" s="9"/>
      <c r="Q3" s="10"/>
      <c r="R3" s="10"/>
      <c r="S3" s="10"/>
      <c r="T3" s="10"/>
      <c r="U3" s="10"/>
    </row>
    <row r="4" spans="2:21" ht="12.75" customHeight="1">
      <c r="B4" s="11" t="s">
        <v>3</v>
      </c>
      <c r="C4" s="11"/>
      <c r="D4" s="11"/>
      <c r="E4" s="11"/>
      <c r="F4" s="12"/>
      <c r="G4" s="12"/>
      <c r="K4" s="13" t="s">
        <v>4</v>
      </c>
      <c r="L4" s="13"/>
      <c r="M4" s="13"/>
      <c r="N4" s="13"/>
      <c r="O4" s="13"/>
      <c r="P4" s="13"/>
      <c r="Q4" s="13"/>
      <c r="R4" s="10"/>
      <c r="S4" s="10"/>
      <c r="T4" s="10"/>
      <c r="U4" s="10"/>
    </row>
    <row r="5" spans="2:21" ht="12.75" customHeight="1">
      <c r="B5" s="14" t="s">
        <v>5</v>
      </c>
      <c r="C5" s="14"/>
      <c r="D5" s="14"/>
      <c r="E5" s="14"/>
      <c r="F5" s="15"/>
      <c r="G5" s="15"/>
      <c r="H5" s="15"/>
      <c r="I5" s="15"/>
      <c r="J5" s="15"/>
      <c r="K5" s="16" t="s">
        <v>6</v>
      </c>
      <c r="L5" s="16"/>
      <c r="M5" s="16"/>
      <c r="N5" s="16"/>
      <c r="O5" s="16"/>
      <c r="P5" s="16"/>
      <c r="Q5" s="10"/>
      <c r="R5" s="10"/>
      <c r="S5" s="10"/>
      <c r="T5" s="10"/>
      <c r="U5" s="10"/>
    </row>
    <row r="6" spans="2:21" ht="12.75" customHeight="1">
      <c r="B6" s="17" t="s">
        <v>7</v>
      </c>
      <c r="C6" s="17"/>
      <c r="D6" s="17"/>
      <c r="E6" s="17"/>
      <c r="F6" s="12"/>
      <c r="K6" s="18" t="s">
        <v>8</v>
      </c>
      <c r="L6" s="18"/>
      <c r="M6" s="18"/>
      <c r="N6" s="18"/>
      <c r="O6" s="18"/>
      <c r="P6" s="18"/>
      <c r="Q6" s="10"/>
      <c r="R6" s="10"/>
      <c r="S6" s="10"/>
      <c r="T6" s="10"/>
      <c r="U6" s="10"/>
    </row>
    <row r="7" spans="2:21" ht="12.75" customHeight="1">
      <c r="B7" s="12" t="s">
        <v>9</v>
      </c>
      <c r="C7" s="12"/>
      <c r="D7" s="12"/>
      <c r="E7" s="12"/>
      <c r="F7" s="12"/>
      <c r="K7" s="19"/>
      <c r="L7" s="20" t="s">
        <v>10</v>
      </c>
      <c r="M7" s="21" t="s">
        <v>11</v>
      </c>
      <c r="N7" s="21"/>
      <c r="O7" s="22"/>
      <c r="P7" s="22"/>
      <c r="Q7" s="10"/>
      <c r="R7" s="10"/>
      <c r="S7" s="10"/>
      <c r="T7" s="10"/>
      <c r="U7" s="10"/>
    </row>
    <row r="8" spans="2:21" ht="12.75" customHeight="1">
      <c r="B8" s="23" t="s">
        <v>12</v>
      </c>
      <c r="C8" s="24"/>
      <c r="D8" s="24"/>
      <c r="E8" s="24"/>
      <c r="K8" s="25" t="s">
        <v>13</v>
      </c>
      <c r="L8" s="25"/>
      <c r="M8" s="25"/>
      <c r="N8" s="25"/>
      <c r="O8" s="25"/>
      <c r="P8" s="25"/>
      <c r="Q8" s="25"/>
      <c r="R8" s="10"/>
      <c r="S8" s="10"/>
      <c r="T8" s="10"/>
      <c r="U8" s="10"/>
    </row>
    <row r="9" spans="2:21" ht="12.75">
      <c r="B9" s="23"/>
      <c r="C9" s="26"/>
      <c r="D9" s="27"/>
      <c r="E9" s="27"/>
      <c r="K9" s="28" t="s">
        <v>12</v>
      </c>
      <c r="O9" s="10"/>
      <c r="P9" s="10"/>
      <c r="Q9" s="10"/>
      <c r="R9" s="10"/>
      <c r="S9" s="10"/>
      <c r="T9" s="10"/>
      <c r="U9" s="10"/>
    </row>
    <row r="10" spans="1:21" s="3" customFormat="1" ht="12.75">
      <c r="A10" s="1"/>
      <c r="B10" s="19"/>
      <c r="C10" s="29"/>
      <c r="D10" s="15"/>
      <c r="E10" s="15"/>
      <c r="G10" s="4"/>
      <c r="H10" s="4"/>
      <c r="I10" s="4"/>
      <c r="J10" s="4"/>
      <c r="O10" s="15"/>
      <c r="P10" s="15"/>
      <c r="S10" s="30"/>
      <c r="T10" s="30"/>
      <c r="U10" s="30"/>
    </row>
    <row r="11" spans="1:18" ht="12.75" customHeight="1">
      <c r="A11" s="31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 customHeight="1">
      <c r="A12" s="32" t="s">
        <v>15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2.75" customHeight="1">
      <c r="A13" s="33" t="s">
        <v>16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21" ht="12.75" customHeight="1">
      <c r="A14" s="34" t="s">
        <v>17</v>
      </c>
      <c r="B14" s="35" t="s">
        <v>18</v>
      </c>
      <c r="C14" s="36" t="s">
        <v>19</v>
      </c>
      <c r="D14" s="36" t="s">
        <v>20</v>
      </c>
      <c r="E14" s="36"/>
      <c r="F14" s="36"/>
      <c r="G14" s="36"/>
      <c r="H14" s="36"/>
      <c r="I14" s="36"/>
      <c r="J14" s="36"/>
      <c r="K14" s="36" t="s">
        <v>21</v>
      </c>
      <c r="L14" s="36"/>
      <c r="M14" s="36" t="s">
        <v>22</v>
      </c>
      <c r="N14" s="36"/>
      <c r="O14" s="36"/>
      <c r="P14" s="36"/>
      <c r="Q14" s="37" t="s">
        <v>23</v>
      </c>
      <c r="R14" s="37" t="s">
        <v>24</v>
      </c>
      <c r="S14" s="37" t="s">
        <v>25</v>
      </c>
      <c r="T14" s="37" t="s">
        <v>26</v>
      </c>
      <c r="U14" s="37" t="s">
        <v>27</v>
      </c>
    </row>
    <row r="15" spans="1:21" ht="12.75" customHeight="1">
      <c r="A15" s="34"/>
      <c r="B15" s="35"/>
      <c r="C15" s="36"/>
      <c r="D15" s="36" t="s">
        <v>28</v>
      </c>
      <c r="E15" s="38" t="s">
        <v>29</v>
      </c>
      <c r="F15" s="38"/>
      <c r="G15" s="38"/>
      <c r="H15" s="38"/>
      <c r="I15" s="38"/>
      <c r="J15" s="38"/>
      <c r="K15" s="36" t="s">
        <v>30</v>
      </c>
      <c r="L15" s="36" t="s">
        <v>31</v>
      </c>
      <c r="M15" s="36" t="s">
        <v>32</v>
      </c>
      <c r="N15" s="36" t="s">
        <v>33</v>
      </c>
      <c r="O15" s="36"/>
      <c r="P15" s="36"/>
      <c r="Q15" s="37"/>
      <c r="R15" s="37"/>
      <c r="S15" s="37"/>
      <c r="T15" s="37"/>
      <c r="U15" s="37"/>
    </row>
    <row r="16" spans="1:21" ht="12.75" customHeight="1">
      <c r="A16" s="34"/>
      <c r="B16" s="35"/>
      <c r="C16" s="36"/>
      <c r="D16" s="36"/>
      <c r="E16" s="39" t="s">
        <v>34</v>
      </c>
      <c r="F16" s="39" t="s">
        <v>35</v>
      </c>
      <c r="G16" s="39" t="s">
        <v>36</v>
      </c>
      <c r="H16" s="39" t="s">
        <v>37</v>
      </c>
      <c r="I16" s="39"/>
      <c r="J16" s="39" t="s">
        <v>38</v>
      </c>
      <c r="K16" s="36"/>
      <c r="L16" s="36"/>
      <c r="M16" s="36"/>
      <c r="N16" s="36"/>
      <c r="O16" s="36"/>
      <c r="P16" s="36"/>
      <c r="Q16" s="37"/>
      <c r="R16" s="37"/>
      <c r="S16" s="37"/>
      <c r="T16" s="37"/>
      <c r="U16" s="37"/>
    </row>
    <row r="17" spans="1:21" ht="12.75" customHeight="1">
      <c r="A17" s="34"/>
      <c r="B17" s="35"/>
      <c r="C17" s="36"/>
      <c r="D17" s="36"/>
      <c r="E17" s="39"/>
      <c r="F17" s="39"/>
      <c r="G17" s="39"/>
      <c r="H17" s="36" t="s">
        <v>39</v>
      </c>
      <c r="I17" s="36" t="s">
        <v>40</v>
      </c>
      <c r="J17" s="39"/>
      <c r="K17" s="36"/>
      <c r="L17" s="36"/>
      <c r="M17" s="36"/>
      <c r="N17" s="38" t="s">
        <v>41</v>
      </c>
      <c r="O17" s="38"/>
      <c r="P17" s="36" t="s">
        <v>42</v>
      </c>
      <c r="Q17" s="37"/>
      <c r="R17" s="37"/>
      <c r="S17" s="37"/>
      <c r="T17" s="37"/>
      <c r="U17" s="37"/>
    </row>
    <row r="18" spans="1:43" s="3" customFormat="1" ht="12.75">
      <c r="A18" s="40">
        <v>1</v>
      </c>
      <c r="B18" s="41">
        <v>2</v>
      </c>
      <c r="C18" s="42">
        <v>3</v>
      </c>
      <c r="D18" s="42">
        <v>4</v>
      </c>
      <c r="E18" s="42">
        <v>5</v>
      </c>
      <c r="F18" s="42">
        <v>6</v>
      </c>
      <c r="G18" s="42">
        <v>7</v>
      </c>
      <c r="H18" s="42">
        <v>8</v>
      </c>
      <c r="I18" s="42">
        <v>9</v>
      </c>
      <c r="J18" s="42">
        <v>10</v>
      </c>
      <c r="K18" s="43">
        <v>11</v>
      </c>
      <c r="L18" s="43">
        <v>12</v>
      </c>
      <c r="M18" s="43">
        <v>13</v>
      </c>
      <c r="N18" s="43">
        <v>14</v>
      </c>
      <c r="O18" s="43"/>
      <c r="P18" s="43">
        <v>15</v>
      </c>
      <c r="Q18" s="43">
        <v>16</v>
      </c>
      <c r="R18" s="43">
        <v>17</v>
      </c>
      <c r="S18" s="42">
        <v>18</v>
      </c>
      <c r="T18" s="42">
        <v>19</v>
      </c>
      <c r="U18" s="42">
        <v>20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21" ht="12.75" customHeight="1">
      <c r="A19" s="40" t="s">
        <v>43</v>
      </c>
      <c r="B19" s="41" t="s">
        <v>44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2.75" customHeight="1">
      <c r="A20" s="44" t="s">
        <v>45</v>
      </c>
      <c r="B20" s="45" t="s">
        <v>46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ht="12.75" customHeight="1">
      <c r="A21" s="44" t="s">
        <v>47</v>
      </c>
      <c r="B21" s="46" t="s">
        <v>48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70" ht="12.75">
      <c r="A22" s="44" t="s">
        <v>49</v>
      </c>
      <c r="B22" s="47" t="s">
        <v>50</v>
      </c>
      <c r="C22" s="48" t="s">
        <v>51</v>
      </c>
      <c r="D22" s="49">
        <v>316.19854</v>
      </c>
      <c r="E22" s="49">
        <f>D22</f>
        <v>316.19854</v>
      </c>
      <c r="F22" s="50"/>
      <c r="G22" s="50"/>
      <c r="H22" s="50"/>
      <c r="I22" s="50"/>
      <c r="J22" s="50"/>
      <c r="K22" s="50"/>
      <c r="L22" s="49">
        <f>D22</f>
        <v>316.19854</v>
      </c>
      <c r="M22" s="49">
        <f>L22</f>
        <v>316.19854</v>
      </c>
      <c r="N22" s="50"/>
      <c r="O22" s="50"/>
      <c r="P22" s="50"/>
      <c r="Q22" s="51">
        <v>0.7</v>
      </c>
      <c r="R22" s="51"/>
      <c r="S22" s="51"/>
      <c r="T22" s="51"/>
      <c r="U22" s="51">
        <v>2725.5</v>
      </c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</row>
    <row r="23" spans="1:70" ht="12.75">
      <c r="A23" s="44" t="s">
        <v>52</v>
      </c>
      <c r="B23" s="47" t="s">
        <v>53</v>
      </c>
      <c r="C23" s="48" t="s">
        <v>51</v>
      </c>
      <c r="D23" s="49">
        <f>180/1.2</f>
        <v>150</v>
      </c>
      <c r="E23" s="49">
        <f>D23</f>
        <v>150</v>
      </c>
      <c r="F23" s="50"/>
      <c r="G23" s="50"/>
      <c r="H23" s="50"/>
      <c r="I23" s="50"/>
      <c r="J23" s="50"/>
      <c r="K23" s="50"/>
      <c r="L23" s="49">
        <f>D23</f>
        <v>150</v>
      </c>
      <c r="M23" s="49">
        <f>L23</f>
        <v>150</v>
      </c>
      <c r="N23" s="50"/>
      <c r="O23" s="50"/>
      <c r="P23" s="50"/>
      <c r="Q23" s="51">
        <v>1.6</v>
      </c>
      <c r="R23" s="51"/>
      <c r="S23" s="51"/>
      <c r="T23" s="51"/>
      <c r="U23" s="51">
        <v>2453</v>
      </c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</row>
    <row r="24" spans="1:70" ht="12.75">
      <c r="A24" s="44" t="s">
        <v>54</v>
      </c>
      <c r="B24" s="47" t="s">
        <v>55</v>
      </c>
      <c r="C24" s="53" t="s">
        <v>56</v>
      </c>
      <c r="D24" s="49">
        <f>E24+J24</f>
        <v>4380.645955</v>
      </c>
      <c r="E24" s="49">
        <f>93.846055+10.806+26.4/1.2+15+12.3464</f>
        <v>153.998455</v>
      </c>
      <c r="F24" s="49"/>
      <c r="G24" s="49"/>
      <c r="H24" s="49"/>
      <c r="I24" s="49"/>
      <c r="J24" s="49">
        <f>5071977/1200</f>
        <v>4226.6475</v>
      </c>
      <c r="K24" s="49"/>
      <c r="L24" s="49">
        <f>D24</f>
        <v>4380.645955</v>
      </c>
      <c r="M24" s="49">
        <f>L24</f>
        <v>4380.645955</v>
      </c>
      <c r="N24" s="49"/>
      <c r="O24" s="49"/>
      <c r="P24" s="49"/>
      <c r="Q24" s="49">
        <v>189.6</v>
      </c>
      <c r="R24" s="49"/>
      <c r="S24" s="54"/>
      <c r="T24" s="49"/>
      <c r="U24" s="49">
        <v>277.88</v>
      </c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</row>
    <row r="25" spans="1:70" ht="12.75">
      <c r="A25" s="44" t="s">
        <v>57</v>
      </c>
      <c r="B25" s="55" t="s">
        <v>58</v>
      </c>
      <c r="C25" s="48" t="s">
        <v>59</v>
      </c>
      <c r="D25" s="49">
        <f>450/1.2</f>
        <v>375</v>
      </c>
      <c r="E25" s="49">
        <f>450/1.2</f>
        <v>375</v>
      </c>
      <c r="F25" s="50"/>
      <c r="G25" s="50"/>
      <c r="H25" s="50"/>
      <c r="I25" s="50"/>
      <c r="J25" s="50"/>
      <c r="K25" s="50"/>
      <c r="L25" s="49">
        <f>D25</f>
        <v>375</v>
      </c>
      <c r="M25" s="49">
        <f>L25</f>
        <v>375</v>
      </c>
      <c r="N25" s="50"/>
      <c r="O25" s="50"/>
      <c r="P25" s="50"/>
      <c r="Q25" s="51">
        <v>4.8</v>
      </c>
      <c r="R25" s="51"/>
      <c r="S25" s="51">
        <v>131976</v>
      </c>
      <c r="T25" s="51"/>
      <c r="U25" s="51">
        <v>911.95</v>
      </c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</row>
    <row r="26" spans="1:70" ht="12.75">
      <c r="A26" s="44" t="s">
        <v>60</v>
      </c>
      <c r="B26" s="55" t="s">
        <v>61</v>
      </c>
      <c r="C26" s="48" t="s">
        <v>62</v>
      </c>
      <c r="D26" s="49">
        <f>15.08889/1.2+166.04371/1.2</f>
        <v>150.94383333333334</v>
      </c>
      <c r="E26" s="49">
        <f>D26</f>
        <v>150.94383333333334</v>
      </c>
      <c r="F26" s="50"/>
      <c r="G26" s="50"/>
      <c r="H26" s="50"/>
      <c r="I26" s="50"/>
      <c r="J26" s="50"/>
      <c r="K26" s="50"/>
      <c r="L26" s="49">
        <f>D26</f>
        <v>150.94383333333334</v>
      </c>
      <c r="M26" s="49">
        <f>L26</f>
        <v>150.94383333333334</v>
      </c>
      <c r="N26" s="50"/>
      <c r="O26" s="50"/>
      <c r="P26" s="50"/>
      <c r="Q26" s="51">
        <v>63.6</v>
      </c>
      <c r="R26" s="51"/>
      <c r="S26" s="51"/>
      <c r="T26" s="51"/>
      <c r="U26" s="51">
        <v>28.48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</row>
    <row r="27" spans="1:70" ht="12.75">
      <c r="A27" s="44" t="s">
        <v>63</v>
      </c>
      <c r="B27" s="56" t="s">
        <v>64</v>
      </c>
      <c r="C27" s="57" t="s">
        <v>62</v>
      </c>
      <c r="D27" s="49">
        <f>303.033/1.2</f>
        <v>252.52750000000003</v>
      </c>
      <c r="E27" s="50"/>
      <c r="F27" s="50"/>
      <c r="G27" s="50"/>
      <c r="H27" s="50"/>
      <c r="I27" s="50"/>
      <c r="J27" s="49">
        <f>303.033/1.2</f>
        <v>252.52750000000003</v>
      </c>
      <c r="K27" s="50"/>
      <c r="L27" s="49">
        <f>D27</f>
        <v>252.52750000000003</v>
      </c>
      <c r="M27" s="49">
        <f>L27</f>
        <v>252.52750000000003</v>
      </c>
      <c r="N27" s="50"/>
      <c r="O27" s="50"/>
      <c r="P27" s="50"/>
      <c r="Q27" s="51"/>
      <c r="R27" s="51"/>
      <c r="S27" s="51"/>
      <c r="T27" s="51"/>
      <c r="U27" s="51">
        <v>0</v>
      </c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</row>
    <row r="28" spans="1:70" ht="12.75">
      <c r="A28" s="44" t="s">
        <v>65</v>
      </c>
      <c r="B28" s="56" t="s">
        <v>66</v>
      </c>
      <c r="C28" s="57" t="s">
        <v>67</v>
      </c>
      <c r="D28" s="49">
        <f>613.8/1.2</f>
        <v>511.5</v>
      </c>
      <c r="E28" s="50"/>
      <c r="F28" s="50"/>
      <c r="G28" s="50"/>
      <c r="H28" s="50"/>
      <c r="I28" s="50"/>
      <c r="J28" s="49">
        <f>613.8/1.2</f>
        <v>511.5</v>
      </c>
      <c r="K28" s="50"/>
      <c r="L28" s="49">
        <f>D28</f>
        <v>511.5</v>
      </c>
      <c r="M28" s="49">
        <f>L28</f>
        <v>511.5</v>
      </c>
      <c r="N28" s="50"/>
      <c r="O28" s="50"/>
      <c r="P28" s="50"/>
      <c r="Q28" s="51"/>
      <c r="R28" s="51"/>
      <c r="S28" s="51"/>
      <c r="T28" s="51"/>
      <c r="U28" s="51">
        <v>0</v>
      </c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</row>
    <row r="29" spans="1:70" ht="12.75">
      <c r="A29" s="44" t="s">
        <v>68</v>
      </c>
      <c r="B29" s="55" t="s">
        <v>69</v>
      </c>
      <c r="C29" s="57" t="s">
        <v>70</v>
      </c>
      <c r="D29" s="49">
        <f>3551000/1.2/1000</f>
        <v>2959.166666666667</v>
      </c>
      <c r="E29" s="50"/>
      <c r="F29" s="50"/>
      <c r="G29" s="50"/>
      <c r="H29" s="50"/>
      <c r="I29" s="50"/>
      <c r="J29" s="49">
        <f>D29</f>
        <v>2959.166666666667</v>
      </c>
      <c r="K29" s="50"/>
      <c r="L29" s="49">
        <f>D29</f>
        <v>2959.166666666667</v>
      </c>
      <c r="M29" s="49">
        <f>L29</f>
        <v>2959.166666666667</v>
      </c>
      <c r="N29" s="50"/>
      <c r="O29" s="50"/>
      <c r="P29" s="50"/>
      <c r="Q29" s="51">
        <v>343.2</v>
      </c>
      <c r="R29" s="51"/>
      <c r="S29" s="51"/>
      <c r="T29" s="51"/>
      <c r="U29" s="51">
        <v>102.46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</row>
    <row r="30" spans="1:70" ht="12.75">
      <c r="A30" s="44" t="s">
        <v>71</v>
      </c>
      <c r="B30" s="56" t="s">
        <v>72</v>
      </c>
      <c r="C30" s="57" t="s">
        <v>73</v>
      </c>
      <c r="D30" s="49">
        <f>2956960/1.2/1000</f>
        <v>2464.1333333333337</v>
      </c>
      <c r="E30" s="50"/>
      <c r="F30" s="50"/>
      <c r="G30" s="50"/>
      <c r="H30" s="50"/>
      <c r="I30" s="50"/>
      <c r="J30" s="49">
        <f>(3472000-285040-230000)/1.2/1000</f>
        <v>2464.1333333333337</v>
      </c>
      <c r="K30" s="50"/>
      <c r="L30" s="49">
        <f>D30</f>
        <v>2464.1333333333337</v>
      </c>
      <c r="M30" s="49">
        <f>L30</f>
        <v>2464.1333333333337</v>
      </c>
      <c r="N30" s="50"/>
      <c r="O30" s="50"/>
      <c r="P30" s="50"/>
      <c r="Q30" s="51">
        <v>32.4</v>
      </c>
      <c r="R30" s="51"/>
      <c r="S30" s="51">
        <v>131976</v>
      </c>
      <c r="T30" s="51"/>
      <c r="U30" s="51">
        <v>911.95</v>
      </c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</row>
    <row r="31" spans="1:70" ht="12.75">
      <c r="A31" s="44" t="s">
        <v>74</v>
      </c>
      <c r="B31" s="56" t="s">
        <v>75</v>
      </c>
      <c r="C31" s="57" t="s">
        <v>62</v>
      </c>
      <c r="D31" s="49">
        <f>173.11404/1.2</f>
        <v>144.2617</v>
      </c>
      <c r="E31" s="50"/>
      <c r="F31" s="50"/>
      <c r="G31" s="50"/>
      <c r="H31" s="50"/>
      <c r="I31" s="50"/>
      <c r="J31" s="49">
        <f>173.11404/1.2</f>
        <v>144.2617</v>
      </c>
      <c r="K31" s="50"/>
      <c r="L31" s="49">
        <f>D31</f>
        <v>144.2617</v>
      </c>
      <c r="M31" s="49">
        <f>L31</f>
        <v>144.2617</v>
      </c>
      <c r="N31" s="50"/>
      <c r="O31" s="50"/>
      <c r="P31" s="50"/>
      <c r="Q31" s="51">
        <v>0.6000000000000001</v>
      </c>
      <c r="R31" s="51"/>
      <c r="S31" s="51">
        <v>41160</v>
      </c>
      <c r="T31" s="51"/>
      <c r="U31" s="51">
        <v>316.42</v>
      </c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</row>
    <row r="32" spans="1:70" ht="12.75">
      <c r="A32" s="44" t="s">
        <v>76</v>
      </c>
      <c r="B32" s="56" t="s">
        <v>77</v>
      </c>
      <c r="C32" s="57" t="s">
        <v>62</v>
      </c>
      <c r="D32" s="58">
        <v>34.04537</v>
      </c>
      <c r="E32" s="58">
        <f>D32</f>
        <v>34.04537</v>
      </c>
      <c r="F32" s="50"/>
      <c r="G32" s="50"/>
      <c r="H32" s="50"/>
      <c r="I32" s="50"/>
      <c r="J32" s="50"/>
      <c r="K32" s="50"/>
      <c r="L32" s="49">
        <f>D32</f>
        <v>34.04537</v>
      </c>
      <c r="M32" s="49">
        <f>L32</f>
        <v>34.04537</v>
      </c>
      <c r="N32" s="50"/>
      <c r="O32" s="50"/>
      <c r="P32" s="50"/>
      <c r="Q32" s="51"/>
      <c r="R32" s="51"/>
      <c r="S32" s="51"/>
      <c r="T32" s="51"/>
      <c r="U32" s="51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</row>
    <row r="33" spans="1:70" ht="12.75">
      <c r="A33" s="44" t="s">
        <v>78</v>
      </c>
      <c r="B33" s="59" t="s">
        <v>79</v>
      </c>
      <c r="C33" s="57" t="s">
        <v>80</v>
      </c>
      <c r="D33" s="49">
        <f>E33+J33</f>
        <v>2509.2480666666665</v>
      </c>
      <c r="E33" s="58">
        <f>4.272+13.9/1.2+15+12.3464</f>
        <v>43.20173333333334</v>
      </c>
      <c r="F33" s="50"/>
      <c r="G33" s="50"/>
      <c r="H33" s="50"/>
      <c r="I33" s="50"/>
      <c r="J33" s="49">
        <f>2959.2556/1.2</f>
        <v>2466.046333333333</v>
      </c>
      <c r="K33" s="50"/>
      <c r="L33" s="49">
        <f>D33</f>
        <v>2509.2480666666665</v>
      </c>
      <c r="M33" s="49">
        <f>L33</f>
        <v>2509.2480666666665</v>
      </c>
      <c r="N33" s="50"/>
      <c r="O33" s="50"/>
      <c r="P33" s="50"/>
      <c r="Q33" s="51">
        <v>120</v>
      </c>
      <c r="R33" s="51"/>
      <c r="S33" s="51">
        <v>2190</v>
      </c>
      <c r="T33" s="51"/>
      <c r="U33" s="51">
        <v>250.62</v>
      </c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</row>
    <row r="34" spans="1:70" ht="12.75">
      <c r="A34" s="44" t="s">
        <v>81</v>
      </c>
      <c r="B34" s="60" t="s">
        <v>82</v>
      </c>
      <c r="C34" s="57" t="s">
        <v>83</v>
      </c>
      <c r="D34" s="49">
        <f>E34+J34</f>
        <v>406.70675833333337</v>
      </c>
      <c r="E34" s="58">
        <f>8+4.80343/1.2+12.3464</f>
        <v>24.34925833333333</v>
      </c>
      <c r="F34" s="50"/>
      <c r="G34" s="50"/>
      <c r="H34" s="50"/>
      <c r="I34" s="50"/>
      <c r="J34" s="49">
        <f>458829/1.2/1000</f>
        <v>382.3575</v>
      </c>
      <c r="K34" s="50"/>
      <c r="L34" s="49">
        <f>D34</f>
        <v>406.70675833333337</v>
      </c>
      <c r="M34" s="49">
        <f>L34</f>
        <v>406.70675833333337</v>
      </c>
      <c r="N34" s="50"/>
      <c r="O34" s="50"/>
      <c r="P34" s="50"/>
      <c r="Q34" s="51">
        <v>108</v>
      </c>
      <c r="R34" s="51"/>
      <c r="S34" s="51"/>
      <c r="T34" s="51"/>
      <c r="U34" s="51">
        <v>45</v>
      </c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</row>
    <row r="35" spans="1:70" ht="12.75">
      <c r="A35" s="44" t="s">
        <v>84</v>
      </c>
      <c r="B35" s="61" t="s">
        <v>85</v>
      </c>
      <c r="C35" s="57" t="s">
        <v>86</v>
      </c>
      <c r="D35" s="49">
        <f>E35+J35</f>
        <v>9822.4951</v>
      </c>
      <c r="E35" s="58">
        <f>68.88+60+36.312/1.2+15+12.3464</f>
        <v>186.48639999999997</v>
      </c>
      <c r="F35" s="50"/>
      <c r="G35" s="50"/>
      <c r="H35" s="50"/>
      <c r="I35" s="50"/>
      <c r="J35" s="49">
        <f>(11557589.39+5621.05)/1.2/1000</f>
        <v>9636.0087</v>
      </c>
      <c r="K35" s="50"/>
      <c r="L35" s="49">
        <f>D35</f>
        <v>9822.4951</v>
      </c>
      <c r="M35" s="49">
        <f>L35</f>
        <v>9822.4951</v>
      </c>
      <c r="N35" s="50"/>
      <c r="O35" s="50"/>
      <c r="P35" s="50"/>
      <c r="Q35" s="51">
        <v>673.2</v>
      </c>
      <c r="R35" s="51"/>
      <c r="S35" s="51"/>
      <c r="T35" s="51"/>
      <c r="U35" s="51">
        <v>175</v>
      </c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</row>
    <row r="36" spans="1:70" ht="12.75">
      <c r="A36" s="44" t="s">
        <v>87</v>
      </c>
      <c r="B36" s="47" t="s">
        <v>88</v>
      </c>
      <c r="C36" s="57" t="s">
        <v>89</v>
      </c>
      <c r="D36" s="49">
        <f>725221/1.2/1000</f>
        <v>604.3508333333334</v>
      </c>
      <c r="E36" s="50"/>
      <c r="F36" s="50"/>
      <c r="G36" s="50"/>
      <c r="H36" s="50"/>
      <c r="I36" s="50"/>
      <c r="J36" s="49">
        <f>(750000-24779)/1.2/1000</f>
        <v>604.3508333333334</v>
      </c>
      <c r="K36" s="50"/>
      <c r="L36" s="49">
        <f>D36</f>
        <v>604.3508333333334</v>
      </c>
      <c r="M36" s="49">
        <f>L36</f>
        <v>604.3508333333334</v>
      </c>
      <c r="N36" s="50"/>
      <c r="O36" s="50"/>
      <c r="P36" s="50"/>
      <c r="Q36" s="51"/>
      <c r="R36" s="51"/>
      <c r="S36" s="51"/>
      <c r="T36" s="51"/>
      <c r="U36" s="51">
        <v>0</v>
      </c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</row>
    <row r="37" spans="1:70" ht="12.75" customHeight="1">
      <c r="A37" s="62" t="s">
        <v>90</v>
      </c>
      <c r="B37" s="62"/>
      <c r="C37" s="62"/>
      <c r="D37" s="63">
        <f>SUM(D22:D36)</f>
        <v>25081.22365666667</v>
      </c>
      <c r="E37" s="63">
        <f>SUM(E22:E36)</f>
        <v>1434.22359</v>
      </c>
      <c r="F37" s="63">
        <f>SUM(F22:F36)</f>
        <v>0</v>
      </c>
      <c r="G37" s="63">
        <f>SUM(G22:G36)</f>
        <v>0</v>
      </c>
      <c r="H37" s="63">
        <f>SUM(H22:H36)</f>
        <v>0</v>
      </c>
      <c r="I37" s="63">
        <f>SUM(I22:I36)</f>
        <v>0</v>
      </c>
      <c r="J37" s="63">
        <f>SUM(J22:J36)</f>
        <v>23647.000066666667</v>
      </c>
      <c r="K37" s="63">
        <f>SUM(K22:K36)</f>
        <v>0</v>
      </c>
      <c r="L37" s="63">
        <f>SUM(L22:L36)</f>
        <v>25081.22365666667</v>
      </c>
      <c r="M37" s="49">
        <f>L37</f>
        <v>25081.22365666667</v>
      </c>
      <c r="N37" s="63">
        <f>SUM(N22:N36)</f>
        <v>0</v>
      </c>
      <c r="O37" s="63">
        <f>SUM(O22:O36)</f>
        <v>0</v>
      </c>
      <c r="P37" s="63">
        <f>SUM(P22:P36)</f>
        <v>0</v>
      </c>
      <c r="Q37" s="63">
        <f>SUM(Q22:Q36)</f>
        <v>1537.7</v>
      </c>
      <c r="R37" s="63">
        <f>SUM(R22:R36)</f>
        <v>0</v>
      </c>
      <c r="S37" s="64">
        <f>SUM(S22:S36)</f>
        <v>307302</v>
      </c>
      <c r="T37" s="63">
        <f>SUM(T22:T36)</f>
        <v>0</v>
      </c>
      <c r="U37" s="63">
        <f>SUM(U22:U36)</f>
        <v>8198.26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</row>
    <row r="38" spans="1:70" ht="12.75" customHeight="1">
      <c r="A38" s="44" t="s">
        <v>91</v>
      </c>
      <c r="B38" s="46" t="s">
        <v>92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>
        <f>L38</f>
        <v>0</v>
      </c>
      <c r="N38" s="46"/>
      <c r="O38" s="46"/>
      <c r="P38" s="46"/>
      <c r="Q38" s="46"/>
      <c r="R38" s="46"/>
      <c r="S38" s="46"/>
      <c r="T38" s="46"/>
      <c r="U38" s="46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</row>
    <row r="39" spans="1:70" ht="12.75">
      <c r="A39" s="44" t="s">
        <v>93</v>
      </c>
      <c r="B39" s="47" t="s">
        <v>94</v>
      </c>
      <c r="C39" s="48" t="s">
        <v>95</v>
      </c>
      <c r="D39" s="49">
        <f>878/1.2</f>
        <v>731.6666666666667</v>
      </c>
      <c r="E39" s="49">
        <f>878/1.2</f>
        <v>731.6666666666667</v>
      </c>
      <c r="F39" s="50"/>
      <c r="G39" s="50"/>
      <c r="H39" s="50"/>
      <c r="I39" s="50"/>
      <c r="J39" s="50"/>
      <c r="K39" s="50"/>
      <c r="L39" s="49">
        <f>D39</f>
        <v>731.6666666666667</v>
      </c>
      <c r="M39" s="49">
        <f>L39</f>
        <v>731.6666666666667</v>
      </c>
      <c r="N39" s="50"/>
      <c r="O39" s="50"/>
      <c r="P39" s="50"/>
      <c r="Q39" s="51">
        <v>8.4</v>
      </c>
      <c r="R39" s="51"/>
      <c r="S39" s="51"/>
      <c r="T39" s="51"/>
      <c r="U39" s="65">
        <v>1000.6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</row>
    <row r="40" spans="1:70" ht="12.75">
      <c r="A40" s="44" t="s">
        <v>96</v>
      </c>
      <c r="B40" s="56" t="s">
        <v>97</v>
      </c>
      <c r="C40" s="48" t="s">
        <v>62</v>
      </c>
      <c r="D40" s="49">
        <f>440000/1200</f>
        <v>366.6666666666667</v>
      </c>
      <c r="E40" s="50"/>
      <c r="F40" s="50"/>
      <c r="G40" s="50"/>
      <c r="H40" s="50"/>
      <c r="I40" s="50"/>
      <c r="J40" s="49">
        <f>440000/1000/1.2</f>
        <v>366.6666666666667</v>
      </c>
      <c r="K40" s="50"/>
      <c r="L40" s="49">
        <f>D40</f>
        <v>366.6666666666667</v>
      </c>
      <c r="M40" s="49">
        <f>L40</f>
        <v>366.6666666666667</v>
      </c>
      <c r="N40" s="50"/>
      <c r="O40" s="50"/>
      <c r="P40" s="50"/>
      <c r="Q40" s="51"/>
      <c r="R40" s="51"/>
      <c r="S40" s="51"/>
      <c r="T40" s="51"/>
      <c r="U40" s="65">
        <v>0</v>
      </c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</row>
    <row r="41" spans="1:70" ht="12.75">
      <c r="A41" s="44" t="s">
        <v>98</v>
      </c>
      <c r="B41" s="66" t="s">
        <v>99</v>
      </c>
      <c r="C41" s="67" t="s">
        <v>62</v>
      </c>
      <c r="D41" s="49">
        <f>49/1.2</f>
        <v>40.833333333333336</v>
      </c>
      <c r="E41" s="49">
        <f>49/1.2</f>
        <v>40.833333333333336</v>
      </c>
      <c r="F41" s="50"/>
      <c r="G41" s="50"/>
      <c r="H41" s="50"/>
      <c r="I41" s="50"/>
      <c r="J41" s="50"/>
      <c r="K41" s="50"/>
      <c r="L41" s="49">
        <f>D41</f>
        <v>40.833333333333336</v>
      </c>
      <c r="M41" s="49">
        <f>L41</f>
        <v>40.833333333333336</v>
      </c>
      <c r="N41" s="50"/>
      <c r="O41" s="50"/>
      <c r="P41" s="50"/>
      <c r="Q41" s="51">
        <v>93.6</v>
      </c>
      <c r="R41" s="51"/>
      <c r="S41" s="51"/>
      <c r="T41" s="51"/>
      <c r="U41" s="65">
        <v>5.24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</row>
    <row r="42" spans="1:70" ht="12.75" customHeight="1">
      <c r="A42" s="42" t="s">
        <v>100</v>
      </c>
      <c r="B42" s="42">
        <f>SUM(B39:B41)</f>
        <v>0</v>
      </c>
      <c r="C42" s="42">
        <f>SUM(C39:C41)</f>
        <v>0</v>
      </c>
      <c r="D42" s="63">
        <f>SUM(D39:D41)</f>
        <v>1139.1666666666667</v>
      </c>
      <c r="E42" s="63">
        <f>SUM(E39:E41)</f>
        <v>772.5000000000001</v>
      </c>
      <c r="F42" s="63">
        <f>SUM(F39:F41)</f>
        <v>0</v>
      </c>
      <c r="G42" s="63">
        <f>SUM(G39:G41)</f>
        <v>0</v>
      </c>
      <c r="H42" s="63">
        <f>SUM(H39:H41)</f>
        <v>0</v>
      </c>
      <c r="I42" s="63">
        <f>SUM(I39:I41)</f>
        <v>0</v>
      </c>
      <c r="J42" s="63">
        <f>SUM(J39:J41)</f>
        <v>366.6666666666667</v>
      </c>
      <c r="K42" s="63">
        <f>SUM(K39:K41)</f>
        <v>0</v>
      </c>
      <c r="L42" s="63">
        <f>SUM(L39:L41)</f>
        <v>1139.1666666666667</v>
      </c>
      <c r="M42" s="63">
        <f>SUM(M39:M41)</f>
        <v>1139.1666666666667</v>
      </c>
      <c r="N42" s="63">
        <f>SUM(N39:N41)</f>
        <v>0</v>
      </c>
      <c r="O42" s="63">
        <f>SUM(O39:O41)</f>
        <v>0</v>
      </c>
      <c r="P42" s="63">
        <f>SUM(P39:P41)</f>
        <v>0</v>
      </c>
      <c r="Q42" s="63">
        <f>SUM(Q39:Q41)</f>
        <v>102</v>
      </c>
      <c r="R42" s="63"/>
      <c r="S42" s="63">
        <f>SUM(S39:S41)</f>
        <v>0</v>
      </c>
      <c r="T42" s="63">
        <f>SUM(T39:T41)</f>
        <v>0</v>
      </c>
      <c r="U42" s="63">
        <f>SUM(U39:U41)</f>
        <v>1005.84</v>
      </c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</row>
    <row r="43" spans="1:70" ht="12.75" customHeight="1">
      <c r="A43" s="44" t="s">
        <v>101</v>
      </c>
      <c r="B43" s="68" t="s">
        <v>102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</row>
    <row r="44" spans="1:70" ht="12.75" customHeight="1">
      <c r="A44" s="42" t="s">
        <v>103</v>
      </c>
      <c r="B44" s="42"/>
      <c r="C44" s="42"/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9">
        <v>0</v>
      </c>
      <c r="R44" s="63"/>
      <c r="S44" s="64">
        <v>0</v>
      </c>
      <c r="T44" s="63">
        <v>0</v>
      </c>
      <c r="U44" s="63">
        <v>0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</row>
    <row r="45" spans="1:70" ht="12.75" customHeight="1">
      <c r="A45" s="44" t="s">
        <v>104</v>
      </c>
      <c r="B45" s="68" t="s">
        <v>105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</row>
    <row r="46" spans="1:70" ht="12.75">
      <c r="A46" s="44" t="s">
        <v>106</v>
      </c>
      <c r="B46" s="55" t="s">
        <v>107</v>
      </c>
      <c r="C46" s="53" t="s">
        <v>62</v>
      </c>
      <c r="D46" s="49">
        <f>E46+J46</f>
        <v>1534.8464</v>
      </c>
      <c r="E46" s="53">
        <f>95+15+12.3464</f>
        <v>122.3464</v>
      </c>
      <c r="F46" s="70"/>
      <c r="G46" s="70"/>
      <c r="H46" s="70"/>
      <c r="I46" s="70"/>
      <c r="J46" s="49">
        <f>1695000/1200</f>
        <v>1412.5</v>
      </c>
      <c r="K46" s="70"/>
      <c r="L46" s="49">
        <f>D46</f>
        <v>1534.8464</v>
      </c>
      <c r="M46" s="49">
        <f>L46</f>
        <v>1534.8464</v>
      </c>
      <c r="N46" s="70"/>
      <c r="O46" s="70"/>
      <c r="P46" s="70"/>
      <c r="Q46" s="71"/>
      <c r="R46" s="71"/>
      <c r="S46" s="71"/>
      <c r="T46" s="71"/>
      <c r="U46" s="71">
        <v>0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</row>
    <row r="47" spans="1:70" ht="12.75" customHeight="1">
      <c r="A47" s="42" t="s">
        <v>108</v>
      </c>
      <c r="B47" s="42">
        <f>SUM(B46:B46)</f>
        <v>0</v>
      </c>
      <c r="C47" s="42">
        <f>SUM(C46:C46)</f>
        <v>0</v>
      </c>
      <c r="D47" s="63">
        <f>SUM(D46:D46)</f>
        <v>1534.8464</v>
      </c>
      <c r="E47" s="63">
        <f>SUM(E46:E46)</f>
        <v>122.3464</v>
      </c>
      <c r="F47" s="63">
        <f>SUM(F46:F46)</f>
        <v>0</v>
      </c>
      <c r="G47" s="63">
        <f>SUM(G46:G46)</f>
        <v>0</v>
      </c>
      <c r="H47" s="63">
        <f>SUM(H46:H46)</f>
        <v>0</v>
      </c>
      <c r="I47" s="63">
        <f>SUM(I46:I46)</f>
        <v>0</v>
      </c>
      <c r="J47" s="63">
        <f>SUM(J46:J46)</f>
        <v>1412.5</v>
      </c>
      <c r="K47" s="63">
        <f>SUM(K46:K46)</f>
        <v>0</v>
      </c>
      <c r="L47" s="63">
        <f>SUM(L46:L46)</f>
        <v>1534.8464</v>
      </c>
      <c r="M47" s="63">
        <f>SUM(M46:M46)</f>
        <v>1534.8464</v>
      </c>
      <c r="N47" s="63">
        <v>0</v>
      </c>
      <c r="O47" s="63">
        <v>0</v>
      </c>
      <c r="P47" s="63">
        <v>0</v>
      </c>
      <c r="Q47" s="69">
        <v>0</v>
      </c>
      <c r="R47" s="63"/>
      <c r="S47" s="64">
        <v>0</v>
      </c>
      <c r="T47" s="63">
        <v>0</v>
      </c>
      <c r="U47" s="63">
        <v>0</v>
      </c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</row>
    <row r="48" spans="1:70" ht="12.75" customHeight="1">
      <c r="A48" s="44" t="s">
        <v>109</v>
      </c>
      <c r="B48" s="68" t="s">
        <v>110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</row>
    <row r="49" spans="1:70" ht="12.75">
      <c r="A49" s="44" t="s">
        <v>111</v>
      </c>
      <c r="B49" s="55" t="s">
        <v>112</v>
      </c>
      <c r="C49" s="48"/>
      <c r="D49" s="49">
        <f>1900/1.2</f>
        <v>1583.3333333333335</v>
      </c>
      <c r="E49" s="49">
        <f>1900/1.2</f>
        <v>1583.3333333333335</v>
      </c>
      <c r="F49" s="71"/>
      <c r="G49" s="71"/>
      <c r="H49" s="71"/>
      <c r="I49" s="71"/>
      <c r="J49" s="71"/>
      <c r="K49" s="71"/>
      <c r="L49" s="49">
        <f>D49</f>
        <v>1583.3333333333335</v>
      </c>
      <c r="M49" s="49">
        <f>L49</f>
        <v>1583.3333333333335</v>
      </c>
      <c r="N49" s="71"/>
      <c r="O49" s="71"/>
      <c r="P49" s="71"/>
      <c r="Q49" s="71"/>
      <c r="R49" s="71"/>
      <c r="S49" s="71"/>
      <c r="T49" s="71"/>
      <c r="U49" s="49">
        <v>0</v>
      </c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</row>
    <row r="50" spans="1:70" ht="12.75">
      <c r="A50" s="44" t="s">
        <v>113</v>
      </c>
      <c r="B50" s="55" t="s">
        <v>114</v>
      </c>
      <c r="C50" s="72" t="s">
        <v>62</v>
      </c>
      <c r="D50" s="49">
        <f>540000/1.2/1000</f>
        <v>450</v>
      </c>
      <c r="E50" s="49">
        <v>450</v>
      </c>
      <c r="F50" s="71"/>
      <c r="G50" s="71"/>
      <c r="H50" s="71"/>
      <c r="I50" s="71"/>
      <c r="J50" s="49"/>
      <c r="K50" s="71"/>
      <c r="L50" s="49">
        <f>D50</f>
        <v>450</v>
      </c>
      <c r="M50" s="49">
        <f>L50</f>
        <v>450</v>
      </c>
      <c r="N50" s="71"/>
      <c r="O50" s="71"/>
      <c r="P50" s="71"/>
      <c r="Q50" s="71"/>
      <c r="R50" s="71"/>
      <c r="S50" s="71"/>
      <c r="T50" s="71"/>
      <c r="U50" s="49">
        <v>0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</row>
    <row r="51" spans="1:70" ht="12.75">
      <c r="A51" s="44" t="s">
        <v>115</v>
      </c>
      <c r="B51" s="73" t="s">
        <v>116</v>
      </c>
      <c r="C51" s="58" t="s">
        <v>117</v>
      </c>
      <c r="D51" s="49">
        <f>1341.39-56.115-182.54-450+260.046</f>
        <v>912.7810000000002</v>
      </c>
      <c r="E51" s="49">
        <f>D51-F51</f>
        <v>912.7810000000002</v>
      </c>
      <c r="F51" s="71"/>
      <c r="G51" s="71"/>
      <c r="H51" s="71"/>
      <c r="I51" s="71"/>
      <c r="J51" s="71"/>
      <c r="K51" s="71"/>
      <c r="L51" s="49">
        <f>D51</f>
        <v>912.7810000000002</v>
      </c>
      <c r="M51" s="49">
        <f>L51</f>
        <v>912.7810000000002</v>
      </c>
      <c r="N51" s="71"/>
      <c r="O51" s="71"/>
      <c r="P51" s="71"/>
      <c r="Q51" s="71"/>
      <c r="R51" s="71"/>
      <c r="S51" s="71"/>
      <c r="T51" s="71"/>
      <c r="U51" s="49">
        <v>0</v>
      </c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</row>
    <row r="52" spans="1:70" s="5" customFormat="1" ht="12.75" customHeight="1">
      <c r="A52" s="42" t="s">
        <v>118</v>
      </c>
      <c r="B52" s="42"/>
      <c r="C52" s="42"/>
      <c r="D52" s="63">
        <f>SUM(D49:D51)</f>
        <v>2946.114333333334</v>
      </c>
      <c r="E52" s="63">
        <f>SUM(E49:E51)</f>
        <v>2946.114333333334</v>
      </c>
      <c r="F52" s="63">
        <f>SUM(F49:F51)</f>
        <v>0</v>
      </c>
      <c r="G52" s="63">
        <f>SUM(G49:G51)</f>
        <v>0</v>
      </c>
      <c r="H52" s="63">
        <f>SUM(H49:H51)</f>
        <v>0</v>
      </c>
      <c r="I52" s="63">
        <f>SUM(I49:I51)</f>
        <v>0</v>
      </c>
      <c r="J52" s="63">
        <f>SUM(J49:J51)</f>
        <v>0</v>
      </c>
      <c r="K52" s="63">
        <f>SUM(K49:K51)</f>
        <v>0</v>
      </c>
      <c r="L52" s="63">
        <f>SUM(L49:L51)</f>
        <v>2946.114333333334</v>
      </c>
      <c r="M52" s="63">
        <f>SUM(M49:M51)</f>
        <v>2946.114333333334</v>
      </c>
      <c r="N52" s="63">
        <f>SUM(N49)</f>
        <v>0</v>
      </c>
      <c r="O52" s="63">
        <f>SUM(O49)</f>
        <v>0</v>
      </c>
      <c r="P52" s="63">
        <f>SUM(P49)</f>
        <v>0</v>
      </c>
      <c r="Q52" s="69">
        <v>0</v>
      </c>
      <c r="R52" s="63"/>
      <c r="S52" s="64">
        <v>0</v>
      </c>
      <c r="T52" s="63">
        <v>0</v>
      </c>
      <c r="U52" s="63">
        <v>0</v>
      </c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</row>
    <row r="53" spans="1:70" s="5" customFormat="1" ht="12.75" customHeight="1">
      <c r="A53" s="44" t="s">
        <v>119</v>
      </c>
      <c r="B53" s="68" t="s">
        <v>120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</row>
    <row r="54" spans="1:70" s="5" customFormat="1" ht="12.75">
      <c r="A54" s="44" t="s">
        <v>121</v>
      </c>
      <c r="B54" s="75"/>
      <c r="C54" s="58"/>
      <c r="D54" s="76"/>
      <c r="E54" s="49">
        <f>D54</f>
        <v>0</v>
      </c>
      <c r="F54" s="71"/>
      <c r="G54" s="71"/>
      <c r="H54" s="71"/>
      <c r="I54" s="71"/>
      <c r="J54" s="71"/>
      <c r="K54" s="71"/>
      <c r="L54" s="49">
        <f>D54</f>
        <v>0</v>
      </c>
      <c r="M54" s="49">
        <f>D54</f>
        <v>0</v>
      </c>
      <c r="N54" s="71"/>
      <c r="O54" s="71"/>
      <c r="P54" s="71"/>
      <c r="Q54" s="71"/>
      <c r="R54" s="71"/>
      <c r="S54" s="71"/>
      <c r="T54" s="71"/>
      <c r="U54" s="71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</row>
    <row r="55" spans="1:70" s="5" customFormat="1" ht="12.75" customHeight="1">
      <c r="A55" s="42" t="s">
        <v>122</v>
      </c>
      <c r="B55" s="42"/>
      <c r="C55" s="42"/>
      <c r="D55" s="63">
        <f>SUM(D54)</f>
        <v>0</v>
      </c>
      <c r="E55" s="63">
        <f>SUM(E54)</f>
        <v>0</v>
      </c>
      <c r="F55" s="63">
        <f>SUM(F54)</f>
        <v>0</v>
      </c>
      <c r="G55" s="63">
        <f>SUM(G54)</f>
        <v>0</v>
      </c>
      <c r="H55" s="63">
        <f>SUM(H54)</f>
        <v>0</v>
      </c>
      <c r="I55" s="63">
        <f>SUM(I54)</f>
        <v>0</v>
      </c>
      <c r="J55" s="63">
        <f>SUM(J54)</f>
        <v>0</v>
      </c>
      <c r="K55" s="63">
        <f>SUM(K54)</f>
        <v>0</v>
      </c>
      <c r="L55" s="63">
        <f>SUM(L54)</f>
        <v>0</v>
      </c>
      <c r="M55" s="63">
        <f>SUM(M54)</f>
        <v>0</v>
      </c>
      <c r="N55" s="63">
        <f>SUM(N54)</f>
        <v>0</v>
      </c>
      <c r="O55" s="63">
        <f>SUM(O54)</f>
        <v>0</v>
      </c>
      <c r="P55" s="63">
        <f>SUM(P54)</f>
        <v>0</v>
      </c>
      <c r="Q55" s="63">
        <f>SUM(Q54)</f>
        <v>0</v>
      </c>
      <c r="R55" s="63"/>
      <c r="S55" s="64">
        <f>SUM(S54)</f>
        <v>0</v>
      </c>
      <c r="T55" s="63">
        <f>SUM(T54)</f>
        <v>0</v>
      </c>
      <c r="U55" s="63">
        <v>0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</row>
    <row r="56" spans="1:70" s="5" customFormat="1" ht="12.75" customHeight="1">
      <c r="A56" s="44" t="s">
        <v>123</v>
      </c>
      <c r="B56" s="68" t="s">
        <v>124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</row>
    <row r="57" spans="1:70" s="5" customFormat="1" ht="12.75" customHeight="1">
      <c r="A57" s="42" t="s">
        <v>125</v>
      </c>
      <c r="B57" s="42"/>
      <c r="C57" s="42"/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9">
        <v>0</v>
      </c>
      <c r="R57" s="63"/>
      <c r="S57" s="64">
        <v>0</v>
      </c>
      <c r="T57" s="63">
        <v>0</v>
      </c>
      <c r="U57" s="63">
        <v>0</v>
      </c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</row>
    <row r="58" spans="1:70" s="5" customFormat="1" ht="12.75" customHeight="1">
      <c r="A58" s="44" t="s">
        <v>126</v>
      </c>
      <c r="B58" s="68" t="s">
        <v>127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</row>
    <row r="59" spans="1:70" s="5" customFormat="1" ht="12.75">
      <c r="A59" s="44" t="s">
        <v>128</v>
      </c>
      <c r="B59" s="77" t="s">
        <v>129</v>
      </c>
      <c r="C59" s="67" t="s">
        <v>73</v>
      </c>
      <c r="D59" s="49">
        <f>(40.716+22.8636+18.792+94.7+91.3+64)/1.2+56.115</f>
        <v>333.09133333333335</v>
      </c>
      <c r="E59" s="49">
        <f>(40.716+22.8636+18.792+94.7+91.3+64)/1.2+56.115</f>
        <v>333.09133333333335</v>
      </c>
      <c r="F59" s="71"/>
      <c r="G59" s="71"/>
      <c r="H59" s="71"/>
      <c r="I59" s="71"/>
      <c r="J59" s="71"/>
      <c r="K59" s="71"/>
      <c r="L59" s="49">
        <f>D59</f>
        <v>333.09133333333335</v>
      </c>
      <c r="M59" s="49">
        <f>L59</f>
        <v>333.09133333333335</v>
      </c>
      <c r="N59" s="71"/>
      <c r="O59" s="71"/>
      <c r="P59" s="71"/>
      <c r="Q59" s="71"/>
      <c r="R59" s="71"/>
      <c r="S59" s="71"/>
      <c r="T59" s="71"/>
      <c r="U59" s="49">
        <v>0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</row>
    <row r="60" spans="1:70" s="5" customFormat="1" ht="12.75">
      <c r="A60" s="44" t="s">
        <v>130</v>
      </c>
      <c r="B60" s="73" t="s">
        <v>131</v>
      </c>
      <c r="C60" s="58" t="s">
        <v>132</v>
      </c>
      <c r="D60" s="76">
        <v>53.61</v>
      </c>
      <c r="E60" s="76">
        <f>D60</f>
        <v>53.61</v>
      </c>
      <c r="F60" s="71"/>
      <c r="G60" s="71"/>
      <c r="H60" s="71"/>
      <c r="I60" s="71"/>
      <c r="J60" s="71"/>
      <c r="K60" s="71"/>
      <c r="L60" s="49">
        <f>D60</f>
        <v>53.61</v>
      </c>
      <c r="M60" s="49">
        <f>L60</f>
        <v>53.61</v>
      </c>
      <c r="N60" s="71"/>
      <c r="O60" s="71"/>
      <c r="P60" s="71"/>
      <c r="Q60" s="71"/>
      <c r="R60" s="71"/>
      <c r="S60" s="71"/>
      <c r="T60" s="71"/>
      <c r="U60" s="49">
        <v>0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</row>
    <row r="61" spans="1:70" s="5" customFormat="1" ht="12.75">
      <c r="A61" s="44" t="s">
        <v>133</v>
      </c>
      <c r="B61" s="55" t="s">
        <v>134</v>
      </c>
      <c r="C61" s="48" t="s">
        <v>135</v>
      </c>
      <c r="D61" s="49">
        <f>51+46-18</f>
        <v>79</v>
      </c>
      <c r="E61" s="49">
        <f>D61</f>
        <v>79</v>
      </c>
      <c r="F61" s="71"/>
      <c r="G61" s="71"/>
      <c r="H61" s="71"/>
      <c r="I61" s="71"/>
      <c r="J61" s="71"/>
      <c r="K61" s="71"/>
      <c r="L61" s="49">
        <f>D61</f>
        <v>79</v>
      </c>
      <c r="M61" s="49">
        <f>L61</f>
        <v>79</v>
      </c>
      <c r="N61" s="71"/>
      <c r="O61" s="71"/>
      <c r="P61" s="71"/>
      <c r="Q61" s="71"/>
      <c r="R61" s="71"/>
      <c r="S61" s="71"/>
      <c r="T61" s="71"/>
      <c r="U61" s="49">
        <v>0</v>
      </c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</row>
    <row r="62" spans="1:70" s="5" customFormat="1" ht="12.75">
      <c r="A62" s="44" t="s">
        <v>136</v>
      </c>
      <c r="B62" s="55" t="s">
        <v>137</v>
      </c>
      <c r="C62" s="48" t="s">
        <v>138</v>
      </c>
      <c r="D62" s="49">
        <f>66810/1000</f>
        <v>66.81</v>
      </c>
      <c r="E62" s="76"/>
      <c r="F62" s="71"/>
      <c r="G62" s="71"/>
      <c r="H62" s="71"/>
      <c r="I62" s="71"/>
      <c r="J62" s="49">
        <f>66810/1000</f>
        <v>66.81</v>
      </c>
      <c r="K62" s="71"/>
      <c r="L62" s="49">
        <f>D62</f>
        <v>66.81</v>
      </c>
      <c r="M62" s="49">
        <f>L62</f>
        <v>66.81</v>
      </c>
      <c r="N62" s="71"/>
      <c r="O62" s="71"/>
      <c r="P62" s="71"/>
      <c r="Q62" s="71"/>
      <c r="R62" s="71"/>
      <c r="S62" s="71"/>
      <c r="T62" s="71"/>
      <c r="U62" s="49">
        <v>0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</row>
    <row r="63" spans="1:70" s="5" customFormat="1" ht="12.75">
      <c r="A63" s="44" t="s">
        <v>139</v>
      </c>
      <c r="B63" s="55" t="s">
        <v>140</v>
      </c>
      <c r="C63" s="48" t="s">
        <v>138</v>
      </c>
      <c r="D63" s="49">
        <f>121990/1000</f>
        <v>121.99</v>
      </c>
      <c r="E63" s="76"/>
      <c r="F63" s="71"/>
      <c r="G63" s="71"/>
      <c r="H63" s="71"/>
      <c r="I63" s="71"/>
      <c r="J63" s="49">
        <f>121990/1000</f>
        <v>121.99</v>
      </c>
      <c r="K63" s="71"/>
      <c r="L63" s="49">
        <f>D63</f>
        <v>121.99</v>
      </c>
      <c r="M63" s="49">
        <f>L63</f>
        <v>121.99</v>
      </c>
      <c r="N63" s="71"/>
      <c r="O63" s="71"/>
      <c r="P63" s="71"/>
      <c r="Q63" s="71"/>
      <c r="R63" s="71"/>
      <c r="S63" s="71"/>
      <c r="T63" s="71"/>
      <c r="U63" s="49">
        <v>0</v>
      </c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</row>
    <row r="64" spans="1:70" s="5" customFormat="1" ht="12.75">
      <c r="A64" s="44" t="s">
        <v>141</v>
      </c>
      <c r="B64" s="55" t="s">
        <v>142</v>
      </c>
      <c r="C64" s="48" t="s">
        <v>138</v>
      </c>
      <c r="D64" s="49">
        <f>81200/1000</f>
        <v>81.2</v>
      </c>
      <c r="E64" s="76"/>
      <c r="F64" s="71"/>
      <c r="G64" s="71"/>
      <c r="H64" s="71"/>
      <c r="I64" s="71"/>
      <c r="J64" s="49">
        <f>81200/1000</f>
        <v>81.2</v>
      </c>
      <c r="K64" s="71"/>
      <c r="L64" s="49">
        <f>D64</f>
        <v>81.2</v>
      </c>
      <c r="M64" s="49">
        <f>L64</f>
        <v>81.2</v>
      </c>
      <c r="N64" s="71"/>
      <c r="O64" s="71"/>
      <c r="P64" s="71"/>
      <c r="Q64" s="71"/>
      <c r="R64" s="71"/>
      <c r="S64" s="71"/>
      <c r="T64" s="71"/>
      <c r="U64" s="49">
        <v>0</v>
      </c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</row>
    <row r="65" spans="1:70" s="5" customFormat="1" ht="12.75">
      <c r="A65" s="44" t="s">
        <v>143</v>
      </c>
      <c r="B65" s="78" t="s">
        <v>144</v>
      </c>
      <c r="C65" s="48" t="s">
        <v>138</v>
      </c>
      <c r="D65" s="49">
        <f>126.11321/1.2</f>
        <v>105.09434166666666</v>
      </c>
      <c r="E65" s="49">
        <f>D65</f>
        <v>105.09434166666666</v>
      </c>
      <c r="F65" s="71"/>
      <c r="G65" s="71"/>
      <c r="H65" s="71"/>
      <c r="I65" s="71"/>
      <c r="J65" s="71"/>
      <c r="K65" s="71"/>
      <c r="L65" s="49">
        <f>D65</f>
        <v>105.09434166666666</v>
      </c>
      <c r="M65" s="49">
        <f>L65</f>
        <v>105.09434166666666</v>
      </c>
      <c r="N65" s="71"/>
      <c r="O65" s="71"/>
      <c r="P65" s="71"/>
      <c r="Q65" s="71"/>
      <c r="R65" s="71"/>
      <c r="S65" s="71"/>
      <c r="T65" s="71"/>
      <c r="U65" s="49">
        <v>0</v>
      </c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</row>
    <row r="66" spans="1:70" s="5" customFormat="1" ht="12.75">
      <c r="A66" s="44" t="s">
        <v>145</v>
      </c>
      <c r="B66" s="78" t="s">
        <v>146</v>
      </c>
      <c r="C66" s="48" t="s">
        <v>138</v>
      </c>
      <c r="D66" s="49">
        <f>132.146/1.2</f>
        <v>110.12166666666666</v>
      </c>
      <c r="E66" s="49">
        <f>D66</f>
        <v>110.12166666666666</v>
      </c>
      <c r="F66" s="71"/>
      <c r="G66" s="71"/>
      <c r="H66" s="71"/>
      <c r="I66" s="71"/>
      <c r="J66" s="71"/>
      <c r="K66" s="71"/>
      <c r="L66" s="49">
        <f>D66</f>
        <v>110.12166666666666</v>
      </c>
      <c r="M66" s="49">
        <f>L66</f>
        <v>110.12166666666666</v>
      </c>
      <c r="N66" s="71"/>
      <c r="O66" s="71"/>
      <c r="P66" s="71"/>
      <c r="Q66" s="71"/>
      <c r="R66" s="71"/>
      <c r="S66" s="71"/>
      <c r="T66" s="71"/>
      <c r="U66" s="49">
        <v>0</v>
      </c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</row>
    <row r="67" spans="1:70" s="5" customFormat="1" ht="12.75" customHeight="1">
      <c r="A67" s="62" t="s">
        <v>147</v>
      </c>
      <c r="B67" s="62"/>
      <c r="C67" s="62"/>
      <c r="D67" s="63">
        <f>SUM(D59:D66)</f>
        <v>950.9173416666667</v>
      </c>
      <c r="E67" s="63">
        <f>SUM(E59:E66)</f>
        <v>680.9173416666667</v>
      </c>
      <c r="F67" s="63">
        <f>SUM(F59:F66)</f>
        <v>0</v>
      </c>
      <c r="G67" s="63">
        <f>SUM(G59:G66)</f>
        <v>0</v>
      </c>
      <c r="H67" s="63">
        <f>SUM(H59:H66)</f>
        <v>0</v>
      </c>
      <c r="I67" s="63">
        <f>SUM(I59:I66)</f>
        <v>0</v>
      </c>
      <c r="J67" s="63">
        <f>SUM(J59:J66)</f>
        <v>270</v>
      </c>
      <c r="K67" s="63">
        <f>SUM(K59:K66)</f>
        <v>0</v>
      </c>
      <c r="L67" s="63">
        <f>SUM(L59:L66)</f>
        <v>950.9173416666667</v>
      </c>
      <c r="M67" s="63">
        <f>SUM(M59:M66)</f>
        <v>950.9173416666667</v>
      </c>
      <c r="N67" s="63">
        <f>SUM(N59:N66)</f>
        <v>0</v>
      </c>
      <c r="O67" s="63">
        <f>SUM(O59:O66)</f>
        <v>0</v>
      </c>
      <c r="P67" s="63">
        <f>SUM(P59:P66)</f>
        <v>0</v>
      </c>
      <c r="Q67" s="63">
        <f>SUM(Q59:Q66)</f>
        <v>0</v>
      </c>
      <c r="R67" s="63"/>
      <c r="S67" s="64">
        <f>SUM(S59:S66)</f>
        <v>0</v>
      </c>
      <c r="T67" s="63">
        <f>SUM(T59:T66)</f>
        <v>0</v>
      </c>
      <c r="U67" s="63">
        <f>SUM(U59:U66)</f>
        <v>0</v>
      </c>
      <c r="V67" s="52"/>
      <c r="W67" s="52"/>
      <c r="X67" s="52"/>
      <c r="Y67" s="52"/>
      <c r="Z67" s="52"/>
      <c r="AA67" s="52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</row>
    <row r="68" spans="1:70" s="5" customFormat="1" ht="12.75" customHeight="1">
      <c r="A68" s="42" t="s">
        <v>148</v>
      </c>
      <c r="B68" s="42"/>
      <c r="C68" s="42">
        <f>C67+C57+C55+C52+C47+C44+C42+C37</f>
        <v>0</v>
      </c>
      <c r="D68" s="79">
        <f>D67+D57+D55+D52+D47+D44+D42+D37</f>
        <v>31652.268398333337</v>
      </c>
      <c r="E68" s="79">
        <f>E67+E57+E55+E52+E47+E44+E42+E37</f>
        <v>5956.101665</v>
      </c>
      <c r="F68" s="79">
        <f>F67+F57+F55+F52+F47+F44+F42+F37</f>
        <v>0</v>
      </c>
      <c r="G68" s="80">
        <f>G67+G57+G55+G52+G47+G44+G42+G37</f>
        <v>0</v>
      </c>
      <c r="H68" s="80">
        <f>H67+H57+H55+H52+H47+H44+H42+H37</f>
        <v>0</v>
      </c>
      <c r="I68" s="80">
        <f>I67+I57+I55+I52+I47+I44+I42+I37</f>
        <v>0</v>
      </c>
      <c r="J68" s="79">
        <f>J67+J57+J55+J52+J47+J44+J42+J37</f>
        <v>25696.166733333335</v>
      </c>
      <c r="K68" s="80">
        <f>K67+K57+K55+K52+K47+K44+K42+K37</f>
        <v>0</v>
      </c>
      <c r="L68" s="79">
        <f>L67+L57+L55+L52+L47+L44+L42+L37</f>
        <v>31652.268398333337</v>
      </c>
      <c r="M68" s="79">
        <f>M67+M57+M55+M52+M47+M44+M42+M37</f>
        <v>31652.268398333337</v>
      </c>
      <c r="N68" s="79">
        <f>N67+N57+N55+N52+N47+N44+N42+N37</f>
        <v>0</v>
      </c>
      <c r="O68" s="79">
        <f>O67+O57+O55+O52+O47+O44+O42+O37</f>
        <v>0</v>
      </c>
      <c r="P68" s="79">
        <f>P67+P57+P55+P52+P47+P44+P42+P37</f>
        <v>0</v>
      </c>
      <c r="Q68" s="79">
        <f>Q67+Q57+Q55+Q52+Q47+Q44+Q42+Q37</f>
        <v>1639.7</v>
      </c>
      <c r="R68" s="80"/>
      <c r="S68" s="81">
        <f>S67+S57+S55+S52+S47+S44+S42+S37</f>
        <v>307302</v>
      </c>
      <c r="T68" s="79">
        <f>T67+T57+T55+T52+T47+T44+T42+T37</f>
        <v>0</v>
      </c>
      <c r="U68" s="79">
        <f>U67+U57+U55+U52+U47+U44+U42+U37</f>
        <v>9204.1</v>
      </c>
      <c r="V68" s="52"/>
      <c r="W68" s="52"/>
      <c r="X68" s="52"/>
      <c r="Y68" s="52"/>
      <c r="Z68" s="52"/>
      <c r="AA68" s="52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</row>
    <row r="69" spans="1:256" ht="12.75" customHeight="1">
      <c r="A69" s="42" t="s">
        <v>149</v>
      </c>
      <c r="B69" s="42" t="e">
        <f>B68+#REF!</f>
        <v>#REF!</v>
      </c>
      <c r="C69" s="42" t="e">
        <f>C68+#REF!</f>
        <v>#REF!</v>
      </c>
      <c r="D69" s="82">
        <f>D68</f>
        <v>31652.268398333337</v>
      </c>
      <c r="E69" s="82">
        <f>E68</f>
        <v>5956.101665</v>
      </c>
      <c r="F69" s="82">
        <f>F68</f>
        <v>0</v>
      </c>
      <c r="G69" s="82">
        <f>G68</f>
        <v>0</v>
      </c>
      <c r="H69" s="82">
        <f>H68</f>
        <v>0</v>
      </c>
      <c r="I69" s="82">
        <f>I68</f>
        <v>0</v>
      </c>
      <c r="J69" s="82">
        <f>J68</f>
        <v>25696.166733333335</v>
      </c>
      <c r="K69" s="82">
        <f>K68</f>
        <v>0</v>
      </c>
      <c r="L69" s="82">
        <f>L68</f>
        <v>31652.268398333337</v>
      </c>
      <c r="M69" s="82">
        <f>M68</f>
        <v>31652.268398333337</v>
      </c>
      <c r="N69" s="82">
        <f>N68</f>
        <v>0</v>
      </c>
      <c r="O69" s="82">
        <f>O68</f>
        <v>0</v>
      </c>
      <c r="P69" s="82">
        <f>P68</f>
        <v>0</v>
      </c>
      <c r="Q69" s="82">
        <f>Q68</f>
        <v>1639.7</v>
      </c>
      <c r="R69" s="82"/>
      <c r="S69" s="82">
        <f>S68</f>
        <v>307302</v>
      </c>
      <c r="T69" s="82">
        <f>T68</f>
        <v>0</v>
      </c>
      <c r="U69" s="82">
        <f>U68</f>
        <v>9204.1</v>
      </c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IV69" s="83"/>
    </row>
    <row r="70" spans="1:70" ht="12.75" customHeight="1">
      <c r="A70" s="84" t="s">
        <v>150</v>
      </c>
      <c r="B70" s="85" t="s">
        <v>151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</row>
    <row r="71" spans="1:70" ht="12.75" customHeight="1">
      <c r="A71" s="44" t="s">
        <v>152</v>
      </c>
      <c r="B71" s="85" t="s">
        <v>153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86"/>
      <c r="AG71" s="86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</row>
    <row r="72" spans="1:70" ht="12.75" customHeight="1">
      <c r="A72" s="44" t="s">
        <v>154</v>
      </c>
      <c r="B72" s="87" t="s">
        <v>48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86"/>
      <c r="AG72" s="86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</row>
    <row r="73" spans="1:70" ht="12.75">
      <c r="A73" s="44" t="s">
        <v>155</v>
      </c>
      <c r="B73" s="88" t="s">
        <v>156</v>
      </c>
      <c r="C73" s="58" t="s">
        <v>157</v>
      </c>
      <c r="D73" s="49">
        <f>1462.78+11.52+15+12.3464</f>
        <v>1501.6463999999999</v>
      </c>
      <c r="E73" s="49">
        <f>D73</f>
        <v>1501.6463999999999</v>
      </c>
      <c r="F73" s="49"/>
      <c r="G73" s="49"/>
      <c r="H73" s="49"/>
      <c r="I73" s="49"/>
      <c r="J73" s="49"/>
      <c r="K73" s="49"/>
      <c r="L73" s="49">
        <f>D73</f>
        <v>1501.6463999999999</v>
      </c>
      <c r="M73" s="49">
        <f>L73</f>
        <v>1501.6463999999999</v>
      </c>
      <c r="N73" s="49"/>
      <c r="O73" s="49"/>
      <c r="P73" s="49"/>
      <c r="Q73" s="49">
        <v>1.2</v>
      </c>
      <c r="R73" s="49"/>
      <c r="S73" s="54">
        <v>42895</v>
      </c>
      <c r="T73" s="49"/>
      <c r="U73" s="49">
        <v>17626.41</v>
      </c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86"/>
      <c r="AG73" s="86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</row>
    <row r="74" spans="1:70" ht="12.75" customHeight="1">
      <c r="A74" s="42" t="s">
        <v>158</v>
      </c>
      <c r="B74" s="42"/>
      <c r="C74" s="42" t="e">
        <f>SUM(#REF!)</f>
        <v>#REF!</v>
      </c>
      <c r="D74" s="63">
        <f>D73</f>
        <v>1501.6463999999999</v>
      </c>
      <c r="E74" s="63">
        <f>E73</f>
        <v>1501.6463999999999</v>
      </c>
      <c r="F74" s="63">
        <f>F73</f>
        <v>0</v>
      </c>
      <c r="G74" s="63">
        <f>G73</f>
        <v>0</v>
      </c>
      <c r="H74" s="63">
        <f>H73</f>
        <v>0</v>
      </c>
      <c r="I74" s="63">
        <f>I73</f>
        <v>0</v>
      </c>
      <c r="J74" s="63">
        <f>J73</f>
        <v>0</v>
      </c>
      <c r="K74" s="63">
        <f>K73</f>
        <v>0</v>
      </c>
      <c r="L74" s="63">
        <f>L73</f>
        <v>1501.6463999999999</v>
      </c>
      <c r="M74" s="63">
        <f>M73</f>
        <v>1501.6463999999999</v>
      </c>
      <c r="N74" s="63">
        <f>N73</f>
        <v>0</v>
      </c>
      <c r="O74" s="63">
        <f>O73</f>
        <v>0</v>
      </c>
      <c r="P74" s="63">
        <f>P73</f>
        <v>0</v>
      </c>
      <c r="Q74" s="63">
        <f>Q73</f>
        <v>1.2</v>
      </c>
      <c r="R74" s="63"/>
      <c r="S74" s="63">
        <f>S73</f>
        <v>42895</v>
      </c>
      <c r="T74" s="63">
        <f>T73</f>
        <v>0</v>
      </c>
      <c r="U74" s="63">
        <f>U73</f>
        <v>17626.41</v>
      </c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86"/>
      <c r="AG74" s="86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</row>
    <row r="75" spans="1:70" ht="12.75" customHeight="1">
      <c r="A75" s="44" t="s">
        <v>159</v>
      </c>
      <c r="B75" s="87" t="s">
        <v>92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86"/>
      <c r="AG75" s="86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</row>
    <row r="76" spans="1:70" ht="12.75">
      <c r="A76" s="44"/>
      <c r="B76" s="87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90"/>
      <c r="R76" s="90"/>
      <c r="S76" s="90"/>
      <c r="T76" s="90"/>
      <c r="U76" s="90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86"/>
      <c r="AG76" s="86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</row>
    <row r="77" spans="1:70" ht="12.75" customHeight="1">
      <c r="A77" s="42" t="s">
        <v>160</v>
      </c>
      <c r="B77" s="42"/>
      <c r="C77" s="42"/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 t="e">
        <f>#REF!</f>
        <v>#REF!</v>
      </c>
      <c r="P77" s="91">
        <v>0</v>
      </c>
      <c r="Q77" s="91">
        <v>0</v>
      </c>
      <c r="R77" s="91"/>
      <c r="S77" s="91">
        <v>0</v>
      </c>
      <c r="T77" s="91">
        <v>0</v>
      </c>
      <c r="U77" s="91">
        <v>0</v>
      </c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86"/>
      <c r="AG77" s="86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</row>
    <row r="78" spans="1:70" ht="12.75" customHeight="1">
      <c r="A78" s="44" t="s">
        <v>161</v>
      </c>
      <c r="B78" s="92" t="s">
        <v>110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86"/>
      <c r="AG78" s="86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</row>
    <row r="79" spans="1:70" ht="12.75">
      <c r="A79" s="44" t="s">
        <v>162</v>
      </c>
      <c r="B79" s="73"/>
      <c r="C79" s="58"/>
      <c r="D79" s="93"/>
      <c r="E79" s="76"/>
      <c r="F79" s="71"/>
      <c r="G79" s="71"/>
      <c r="H79" s="71"/>
      <c r="I79" s="71"/>
      <c r="J79" s="71"/>
      <c r="K79" s="71"/>
      <c r="L79" s="49">
        <f>D79</f>
        <v>0</v>
      </c>
      <c r="M79" s="49">
        <f>D79</f>
        <v>0</v>
      </c>
      <c r="N79" s="71"/>
      <c r="O79" s="71"/>
      <c r="P79" s="71"/>
      <c r="Q79" s="71"/>
      <c r="R79" s="71"/>
      <c r="S79" s="71"/>
      <c r="T79" s="71"/>
      <c r="U79" s="71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86"/>
      <c r="AG79" s="86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</row>
    <row r="80" spans="1:70" ht="12.75" customHeight="1">
      <c r="A80" s="42" t="s">
        <v>163</v>
      </c>
      <c r="B80" s="42"/>
      <c r="C80" s="42">
        <f>SUM(C78:C78)</f>
        <v>0</v>
      </c>
      <c r="D80" s="63">
        <f>SUM(D79)</f>
        <v>0</v>
      </c>
      <c r="E80" s="63">
        <f>SUM(E79)</f>
        <v>0</v>
      </c>
      <c r="F80" s="63">
        <f>SUM(F79)</f>
        <v>0</v>
      </c>
      <c r="G80" s="63">
        <f>SUM(G79)</f>
        <v>0</v>
      </c>
      <c r="H80" s="63">
        <f>SUM(H79)</f>
        <v>0</v>
      </c>
      <c r="I80" s="63">
        <f>SUM(I79)</f>
        <v>0</v>
      </c>
      <c r="J80" s="63">
        <f>SUM(J79)</f>
        <v>0</v>
      </c>
      <c r="K80" s="63">
        <f>SUM(K79)</f>
        <v>0</v>
      </c>
      <c r="L80" s="63">
        <f>SUM(L79)</f>
        <v>0</v>
      </c>
      <c r="M80" s="63">
        <f>SUM(M79)</f>
        <v>0</v>
      </c>
      <c r="N80" s="63">
        <f>SUM(N79)</f>
        <v>0</v>
      </c>
      <c r="O80" s="63">
        <f>SUM(O79)</f>
        <v>0</v>
      </c>
      <c r="P80" s="63">
        <f>SUM(P79)</f>
        <v>0</v>
      </c>
      <c r="Q80" s="63">
        <f>SUM(Q79)</f>
        <v>0</v>
      </c>
      <c r="R80" s="63"/>
      <c r="S80" s="63">
        <f>SUM(S79)</f>
        <v>0</v>
      </c>
      <c r="T80" s="63">
        <f>SUM(T79)</f>
        <v>0</v>
      </c>
      <c r="U80" s="64">
        <f>SUM(U78:U78)</f>
        <v>0</v>
      </c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86"/>
      <c r="AG80" s="86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</row>
    <row r="81" spans="1:70" ht="12.75" customHeight="1">
      <c r="A81" s="44" t="s">
        <v>164</v>
      </c>
      <c r="B81" s="92" t="s">
        <v>120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86"/>
      <c r="AG81" s="86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</row>
    <row r="82" spans="1:70" ht="12.75" customHeight="1">
      <c r="A82" s="42" t="s">
        <v>165</v>
      </c>
      <c r="B82" s="42"/>
      <c r="C82" s="42">
        <f>SUM(C81:C81)</f>
        <v>0</v>
      </c>
      <c r="D82" s="91">
        <f>SUM(D81:D81)</f>
        <v>0</v>
      </c>
      <c r="E82" s="91">
        <f>SUM(E81:E81)</f>
        <v>0</v>
      </c>
      <c r="F82" s="91">
        <f>SUM(F81:F81)</f>
        <v>0</v>
      </c>
      <c r="G82" s="91">
        <f>SUM(G81:G81)</f>
        <v>0</v>
      </c>
      <c r="H82" s="91">
        <f>SUM(H81:H81)</f>
        <v>0</v>
      </c>
      <c r="I82" s="91">
        <f>SUM(I81:I81)</f>
        <v>0</v>
      </c>
      <c r="J82" s="91">
        <f>SUM(J81:J81)</f>
        <v>0</v>
      </c>
      <c r="K82" s="91">
        <f>SUM(K81:K81)</f>
        <v>0</v>
      </c>
      <c r="L82" s="91">
        <f>SUM(L81:L81)</f>
        <v>0</v>
      </c>
      <c r="M82" s="91">
        <f>SUM(M81:M81)</f>
        <v>0</v>
      </c>
      <c r="N82" s="91">
        <f>SUM(N81:N81)</f>
        <v>0</v>
      </c>
      <c r="O82" s="91">
        <f>SUM(O81:O81)</f>
        <v>0</v>
      </c>
      <c r="P82" s="91">
        <f>SUM(P81:P81)</f>
        <v>0</v>
      </c>
      <c r="Q82" s="91">
        <f>SUM(Q81:Q81)</f>
        <v>0</v>
      </c>
      <c r="R82" s="91"/>
      <c r="S82" s="91">
        <f>SUM(S81:S81)</f>
        <v>0</v>
      </c>
      <c r="T82" s="91">
        <f>SUM(T81:T81)</f>
        <v>0</v>
      </c>
      <c r="U82" s="91">
        <f>SUM(U81:U81)</f>
        <v>0</v>
      </c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86"/>
      <c r="AG82" s="86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</row>
    <row r="83" spans="1:70" ht="12.75" customHeight="1">
      <c r="A83" s="44" t="s">
        <v>166</v>
      </c>
      <c r="B83" s="92" t="s">
        <v>124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86"/>
      <c r="AG83" s="86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</row>
    <row r="84" spans="1:70" ht="12.75">
      <c r="A84" s="44" t="s">
        <v>167</v>
      </c>
      <c r="B84" s="55" t="s">
        <v>168</v>
      </c>
      <c r="C84" s="94" t="s">
        <v>62</v>
      </c>
      <c r="D84" s="95">
        <f>70.102/1.2</f>
        <v>58.41833333333334</v>
      </c>
      <c r="E84" s="95">
        <f>70.102/1.2</f>
        <v>58.41833333333334</v>
      </c>
      <c r="F84" s="49"/>
      <c r="G84" s="49"/>
      <c r="H84" s="49"/>
      <c r="I84" s="49"/>
      <c r="J84" s="49"/>
      <c r="K84" s="49"/>
      <c r="L84" s="49">
        <f>D84</f>
        <v>58.41833333333334</v>
      </c>
      <c r="M84" s="49">
        <f>L84</f>
        <v>58.41833333333334</v>
      </c>
      <c r="N84" s="49"/>
      <c r="O84" s="49"/>
      <c r="P84" s="49"/>
      <c r="Q84" s="49"/>
      <c r="R84" s="49"/>
      <c r="S84" s="54"/>
      <c r="T84" s="49"/>
      <c r="U84" s="49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86"/>
      <c r="AG84" s="86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</row>
    <row r="85" spans="1:256" ht="12.75">
      <c r="A85" s="44" t="s">
        <v>169</v>
      </c>
      <c r="B85" s="55" t="s">
        <v>170</v>
      </c>
      <c r="C85" s="48" t="s">
        <v>70</v>
      </c>
      <c r="D85" s="96">
        <f>209.88/1.2</f>
        <v>174.9</v>
      </c>
      <c r="E85" s="96">
        <f>209.88/1.2</f>
        <v>174.9</v>
      </c>
      <c r="F85" s="49"/>
      <c r="G85" s="49"/>
      <c r="H85" s="49"/>
      <c r="I85" s="49"/>
      <c r="J85" s="49"/>
      <c r="K85" s="49"/>
      <c r="L85" s="49">
        <f>D85</f>
        <v>174.9</v>
      </c>
      <c r="M85" s="49">
        <f>L85</f>
        <v>174.9</v>
      </c>
      <c r="N85" s="49"/>
      <c r="O85" s="49"/>
      <c r="P85" s="49"/>
      <c r="Q85" s="49">
        <v>8.4</v>
      </c>
      <c r="R85" s="49"/>
      <c r="S85" s="54">
        <v>36000</v>
      </c>
      <c r="T85" s="49"/>
      <c r="U85" s="49">
        <v>248.76</v>
      </c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86"/>
      <c r="AG85" s="86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IV85" s="83"/>
    </row>
    <row r="86" spans="1:256" ht="12.75">
      <c r="A86" s="44" t="s">
        <v>171</v>
      </c>
      <c r="B86" s="97" t="s">
        <v>172</v>
      </c>
      <c r="C86" s="53"/>
      <c r="D86" s="49">
        <f>E86+J86</f>
        <v>3653.23965</v>
      </c>
      <c r="E86" s="49">
        <f>15.034+23.7791/1.2+148.3/1.2+15+12.3464</f>
        <v>185.77965</v>
      </c>
      <c r="F86" s="49"/>
      <c r="G86" s="49"/>
      <c r="H86" s="49"/>
      <c r="I86" s="49"/>
      <c r="J86" s="49">
        <f>(4575000-414048)/1.2/1000</f>
        <v>3467.46</v>
      </c>
      <c r="K86" s="49"/>
      <c r="L86" s="49">
        <f>D86</f>
        <v>3653.23965</v>
      </c>
      <c r="M86" s="49">
        <f>L86</f>
        <v>3653.23965</v>
      </c>
      <c r="N86" s="49"/>
      <c r="O86" s="49"/>
      <c r="P86" s="49"/>
      <c r="Q86" s="49">
        <v>121.2</v>
      </c>
      <c r="R86" s="49"/>
      <c r="S86" s="54"/>
      <c r="T86" s="49"/>
      <c r="U86" s="49">
        <v>360</v>
      </c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86"/>
      <c r="AG86" s="86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IV86" s="83"/>
    </row>
    <row r="87" spans="1:256" ht="12.75">
      <c r="A87" s="44" t="s">
        <v>173</v>
      </c>
      <c r="B87" s="55" t="s">
        <v>174</v>
      </c>
      <c r="C87" s="48" t="s">
        <v>175</v>
      </c>
      <c r="D87" s="49">
        <f>E87+J87</f>
        <v>2120.2222500000003</v>
      </c>
      <c r="E87" s="49">
        <f>28.465+4.80343/1.2+7.671+15+12.3464+1496.91/1.2</f>
        <v>1314.9102583333336</v>
      </c>
      <c r="F87" s="49"/>
      <c r="G87" s="49"/>
      <c r="H87" s="49"/>
      <c r="I87" s="49"/>
      <c r="J87" s="49">
        <f>966374.39/1.2/1000</f>
        <v>805.3119916666667</v>
      </c>
      <c r="K87" s="49"/>
      <c r="L87" s="49">
        <f>D87</f>
        <v>2120.2222500000003</v>
      </c>
      <c r="M87" s="49">
        <f>L87</f>
        <v>2120.2222500000003</v>
      </c>
      <c r="N87" s="49"/>
      <c r="O87" s="49"/>
      <c r="P87" s="49"/>
      <c r="Q87" s="49">
        <v>1.2</v>
      </c>
      <c r="R87" s="49"/>
      <c r="S87" s="54"/>
      <c r="T87" s="49"/>
      <c r="U87" s="49">
        <v>17330</v>
      </c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86"/>
      <c r="AG87" s="86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IV87" s="83"/>
    </row>
    <row r="88" spans="1:256" ht="12.75">
      <c r="A88" s="44" t="s">
        <v>176</v>
      </c>
      <c r="B88" s="55" t="s">
        <v>177</v>
      </c>
      <c r="C88" s="48" t="s">
        <v>175</v>
      </c>
      <c r="D88" s="49">
        <f>E88+J88</f>
        <v>620.1755916666667</v>
      </c>
      <c r="E88" s="98">
        <f>4.027/1.2+8.548+4.80343/1.2+207.69/1.2+15+12.3464</f>
        <v>216.32809166666667</v>
      </c>
      <c r="F88" s="49"/>
      <c r="G88" s="49"/>
      <c r="H88" s="49"/>
      <c r="I88" s="49"/>
      <c r="J88" s="49">
        <f>484617/1.2/1000</f>
        <v>403.8475</v>
      </c>
      <c r="K88" s="49"/>
      <c r="L88" s="49">
        <f>D88</f>
        <v>620.1755916666667</v>
      </c>
      <c r="M88" s="49">
        <f>L88</f>
        <v>620.1755916666667</v>
      </c>
      <c r="N88" s="49"/>
      <c r="O88" s="49"/>
      <c r="P88" s="49"/>
      <c r="Q88" s="49">
        <v>99.6</v>
      </c>
      <c r="R88" s="49"/>
      <c r="S88" s="54"/>
      <c r="T88" s="49"/>
      <c r="U88" s="49">
        <v>75</v>
      </c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86"/>
      <c r="AG88" s="86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IV88" s="83"/>
    </row>
    <row r="89" spans="1:256" ht="12.75">
      <c r="A89" s="44" t="s">
        <v>178</v>
      </c>
      <c r="B89" s="73" t="s">
        <v>179</v>
      </c>
      <c r="C89" s="53"/>
      <c r="D89" s="49">
        <f>1930000/1.2/1000</f>
        <v>1608.3333333333335</v>
      </c>
      <c r="E89" s="49"/>
      <c r="F89" s="49"/>
      <c r="G89" s="49"/>
      <c r="H89" s="49"/>
      <c r="I89" s="49"/>
      <c r="J89" s="49">
        <f>1930000/1.2/1000</f>
        <v>1608.3333333333335</v>
      </c>
      <c r="K89" s="49"/>
      <c r="L89" s="49">
        <f>D89</f>
        <v>1608.3333333333335</v>
      </c>
      <c r="M89" s="49">
        <f>L89</f>
        <v>1608.3333333333335</v>
      </c>
      <c r="N89" s="49"/>
      <c r="O89" s="49"/>
      <c r="P89" s="49"/>
      <c r="Q89" s="49">
        <v>154.8</v>
      </c>
      <c r="R89" s="49"/>
      <c r="S89" s="54">
        <v>18000</v>
      </c>
      <c r="T89" s="49"/>
      <c r="U89" s="49">
        <v>124.38</v>
      </c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86"/>
      <c r="AG89" s="86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IV89" s="83"/>
    </row>
    <row r="90" spans="1:256" ht="12.75">
      <c r="A90" s="44" t="s">
        <v>180</v>
      </c>
      <c r="B90" s="56" t="s">
        <v>181</v>
      </c>
      <c r="C90" s="70" t="s">
        <v>182</v>
      </c>
      <c r="D90" s="49">
        <f>363.21636/1.2</f>
        <v>302.68030000000005</v>
      </c>
      <c r="E90" s="49"/>
      <c r="F90" s="49"/>
      <c r="G90" s="49"/>
      <c r="H90" s="49"/>
      <c r="I90" s="49"/>
      <c r="J90" s="49">
        <f>363.216/1.2</f>
        <v>302.68</v>
      </c>
      <c r="K90" s="49"/>
      <c r="L90" s="49">
        <f>D90</f>
        <v>302.68030000000005</v>
      </c>
      <c r="M90" s="49">
        <f>L90</f>
        <v>302.68030000000005</v>
      </c>
      <c r="N90" s="49"/>
      <c r="O90" s="49"/>
      <c r="P90" s="49"/>
      <c r="Q90" s="49">
        <v>60</v>
      </c>
      <c r="R90" s="49"/>
      <c r="S90" s="54"/>
      <c r="T90" s="49"/>
      <c r="U90" s="49">
        <v>60.48</v>
      </c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86"/>
      <c r="AG90" s="86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IV90" s="83"/>
    </row>
    <row r="91" spans="1:256" ht="12.75">
      <c r="A91" s="44" t="s">
        <v>183</v>
      </c>
      <c r="B91" s="55" t="s">
        <v>184</v>
      </c>
      <c r="C91" s="94"/>
      <c r="D91" s="96">
        <f>E91+J91</f>
        <v>540.6685683333334</v>
      </c>
      <c r="E91" s="96">
        <f>59.25071+4.80343/1.2</f>
        <v>63.253568333333334</v>
      </c>
      <c r="F91" s="49"/>
      <c r="G91" s="49"/>
      <c r="H91" s="49"/>
      <c r="I91" s="49"/>
      <c r="J91" s="49">
        <f>572.898/1.2</f>
        <v>477.415</v>
      </c>
      <c r="K91" s="49"/>
      <c r="L91" s="49">
        <f>D91</f>
        <v>540.6685683333334</v>
      </c>
      <c r="M91" s="49">
        <f>L91</f>
        <v>540.6685683333334</v>
      </c>
      <c r="N91" s="49"/>
      <c r="O91" s="49"/>
      <c r="P91" s="49"/>
      <c r="Q91" s="49">
        <v>115.2</v>
      </c>
      <c r="R91" s="49"/>
      <c r="S91" s="54"/>
      <c r="T91" s="49"/>
      <c r="U91" s="49">
        <v>56.1</v>
      </c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86"/>
      <c r="AG91" s="86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IV91" s="83"/>
    </row>
    <row r="92" spans="1:256" ht="12.75">
      <c r="A92" s="44" t="s">
        <v>185</v>
      </c>
      <c r="B92" s="97" t="s">
        <v>186</v>
      </c>
      <c r="C92" s="99"/>
      <c r="D92" s="49">
        <f>E92+J92</f>
        <v>2019.3314066666667</v>
      </c>
      <c r="E92" s="76">
        <f>16.821+8.51044+10.21253/1.2+15+12.3464</f>
        <v>61.18828166666667</v>
      </c>
      <c r="F92" s="49"/>
      <c r="G92" s="49"/>
      <c r="H92" s="49"/>
      <c r="I92" s="49"/>
      <c r="J92" s="49">
        <f>2349.77175/1.2</f>
        <v>1958.143125</v>
      </c>
      <c r="K92" s="49"/>
      <c r="L92" s="49">
        <f>D92</f>
        <v>2019.3314066666667</v>
      </c>
      <c r="M92" s="49">
        <f>L92</f>
        <v>2019.3314066666667</v>
      </c>
      <c r="N92" s="49"/>
      <c r="O92" s="49"/>
      <c r="P92" s="49"/>
      <c r="Q92" s="49">
        <v>92.4</v>
      </c>
      <c r="R92" s="49"/>
      <c r="S92" s="54"/>
      <c r="T92" s="49"/>
      <c r="U92" s="49">
        <v>262.8</v>
      </c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86"/>
      <c r="AG92" s="86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IV92" s="83"/>
    </row>
    <row r="93" spans="1:256" ht="12.75">
      <c r="A93" s="44" t="s">
        <v>187</v>
      </c>
      <c r="B93" s="55" t="s">
        <v>188</v>
      </c>
      <c r="C93" s="48" t="s">
        <v>189</v>
      </c>
      <c r="D93" s="98">
        <f>E93</f>
        <v>280.94640000000004</v>
      </c>
      <c r="E93" s="98">
        <f>(249.38+4.22)*1.2/1.2+15+12.3464</f>
        <v>280.94640000000004</v>
      </c>
      <c r="F93" s="49"/>
      <c r="G93" s="49"/>
      <c r="H93" s="49"/>
      <c r="I93" s="49"/>
      <c r="J93" s="49"/>
      <c r="K93" s="49"/>
      <c r="L93" s="49">
        <f>D93</f>
        <v>280.94640000000004</v>
      </c>
      <c r="M93" s="49">
        <f>L93</f>
        <v>280.94640000000004</v>
      </c>
      <c r="N93" s="49"/>
      <c r="O93" s="49"/>
      <c r="P93" s="49"/>
      <c r="Q93" s="49"/>
      <c r="R93" s="49"/>
      <c r="S93" s="54"/>
      <c r="T93" s="49"/>
      <c r="U93" s="49">
        <v>0</v>
      </c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86"/>
      <c r="AG93" s="86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IV93" s="83"/>
    </row>
    <row r="94" spans="1:256" ht="12.75">
      <c r="A94" s="44" t="s">
        <v>190</v>
      </c>
      <c r="B94" s="100" t="s">
        <v>191</v>
      </c>
      <c r="C94" s="58" t="s">
        <v>192</v>
      </c>
      <c r="D94" s="49">
        <v>3025</v>
      </c>
      <c r="E94" s="49">
        <v>150</v>
      </c>
      <c r="F94" s="49"/>
      <c r="G94" s="49"/>
      <c r="H94" s="49"/>
      <c r="I94" s="49"/>
      <c r="J94" s="49">
        <v>2875</v>
      </c>
      <c r="K94" s="49"/>
      <c r="L94" s="49">
        <f>D94</f>
        <v>3025</v>
      </c>
      <c r="M94" s="49">
        <f>L94</f>
        <v>3025</v>
      </c>
      <c r="N94" s="49"/>
      <c r="O94" s="49"/>
      <c r="P94" s="49"/>
      <c r="Q94" s="49">
        <v>2.4</v>
      </c>
      <c r="R94" s="49"/>
      <c r="S94" s="54"/>
      <c r="T94" s="49"/>
      <c r="U94" s="49">
        <v>17330</v>
      </c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86"/>
      <c r="AG94" s="86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IV94" s="83"/>
    </row>
    <row r="95" spans="1:256" ht="12.75">
      <c r="A95" s="44" t="s">
        <v>193</v>
      </c>
      <c r="B95" s="61" t="s">
        <v>194</v>
      </c>
      <c r="C95" s="53"/>
      <c r="D95" s="49">
        <f>E95+J95</f>
        <v>639.7327083333333</v>
      </c>
      <c r="E95" s="49">
        <f>65-4.80343/1.2+15+12.3464</f>
        <v>88.34354166666667</v>
      </c>
      <c r="F95" s="49"/>
      <c r="G95" s="49"/>
      <c r="H95" s="49"/>
      <c r="I95" s="49"/>
      <c r="J95" s="49">
        <f>(1001010-339343)/1.2/1000</f>
        <v>551.3891666666667</v>
      </c>
      <c r="K95" s="49"/>
      <c r="L95" s="49">
        <f>D95</f>
        <v>639.7327083333333</v>
      </c>
      <c r="M95" s="49">
        <f>L95</f>
        <v>639.7327083333333</v>
      </c>
      <c r="N95" s="49"/>
      <c r="O95" s="49"/>
      <c r="P95" s="49"/>
      <c r="Q95" s="49">
        <v>164.4</v>
      </c>
      <c r="R95" s="49"/>
      <c r="S95" s="54"/>
      <c r="T95" s="49"/>
      <c r="U95" s="49">
        <v>46.8</v>
      </c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86"/>
      <c r="AG95" s="86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IV95" s="83"/>
    </row>
    <row r="96" spans="1:256" ht="12.75">
      <c r="A96" s="44" t="s">
        <v>195</v>
      </c>
      <c r="B96" s="101" t="s">
        <v>196</v>
      </c>
      <c r="C96" s="58" t="s">
        <v>51</v>
      </c>
      <c r="D96" s="49">
        <f>245.6/1.2</f>
        <v>204.66666666666666</v>
      </c>
      <c r="E96" s="49">
        <f>D96</f>
        <v>204.66666666666666</v>
      </c>
      <c r="F96" s="49"/>
      <c r="G96" s="49"/>
      <c r="H96" s="49"/>
      <c r="I96" s="49"/>
      <c r="J96" s="49"/>
      <c r="K96" s="49"/>
      <c r="L96" s="49">
        <f>D96</f>
        <v>204.66666666666666</v>
      </c>
      <c r="M96" s="49">
        <f>L96</f>
        <v>204.66666666666666</v>
      </c>
      <c r="N96" s="49"/>
      <c r="O96" s="49"/>
      <c r="P96" s="49"/>
      <c r="Q96" s="49">
        <v>8.4</v>
      </c>
      <c r="R96" s="49"/>
      <c r="S96" s="54">
        <v>42895</v>
      </c>
      <c r="T96" s="49"/>
      <c r="U96" s="49">
        <v>296.4</v>
      </c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86"/>
      <c r="AG96" s="86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IV96" s="83"/>
    </row>
    <row r="97" spans="1:256" ht="12.75">
      <c r="A97" s="44" t="s">
        <v>197</v>
      </c>
      <c r="B97" s="102" t="s">
        <v>198</v>
      </c>
      <c r="C97" s="58" t="s">
        <v>199</v>
      </c>
      <c r="D97" s="49">
        <f>E97+J97</f>
        <v>5141.572041666666</v>
      </c>
      <c r="E97" s="98">
        <f>(259.051+210.83545)/1.2</f>
        <v>391.5720416666667</v>
      </c>
      <c r="F97" s="49"/>
      <c r="G97" s="49"/>
      <c r="H97" s="49"/>
      <c r="I97" s="49"/>
      <c r="J97" s="49">
        <f>5700/1.2</f>
        <v>4750</v>
      </c>
      <c r="K97" s="49"/>
      <c r="L97" s="49">
        <f>D97</f>
        <v>5141.572041666666</v>
      </c>
      <c r="M97" s="49">
        <f>L97</f>
        <v>5141.572041666666</v>
      </c>
      <c r="N97" s="49"/>
      <c r="O97" s="49"/>
      <c r="P97" s="49"/>
      <c r="Q97" s="49">
        <v>16.8</v>
      </c>
      <c r="R97" s="49"/>
      <c r="S97" s="54">
        <v>728080</v>
      </c>
      <c r="T97" s="49"/>
      <c r="U97" s="49">
        <v>3695.833</v>
      </c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86"/>
      <c r="AG97" s="86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IV97" s="83"/>
    </row>
    <row r="98" spans="1:256" ht="12.75" customHeight="1">
      <c r="A98" s="42" t="s">
        <v>200</v>
      </c>
      <c r="B98" s="42">
        <f>SUM(B84:B97)</f>
        <v>0</v>
      </c>
      <c r="C98" s="42">
        <f>SUM(C84:C97)</f>
        <v>0</v>
      </c>
      <c r="D98" s="63">
        <f>SUM(D84:D97)</f>
        <v>20389.88725</v>
      </c>
      <c r="E98" s="63">
        <f>SUM(E84:E97)</f>
        <v>3190.306833333334</v>
      </c>
      <c r="F98" s="63">
        <f>SUM(F84:F97)</f>
        <v>0</v>
      </c>
      <c r="G98" s="63">
        <f>SUM(G84:G97)</f>
        <v>0</v>
      </c>
      <c r="H98" s="63">
        <f>SUM(H84:H97)</f>
        <v>0</v>
      </c>
      <c r="I98" s="63">
        <f>SUM(I84:I97)</f>
        <v>0</v>
      </c>
      <c r="J98" s="63">
        <f>SUM(J84:J97)</f>
        <v>17199.580116666668</v>
      </c>
      <c r="K98" s="63">
        <f>SUM(K84:K97)</f>
        <v>0</v>
      </c>
      <c r="L98" s="63">
        <f>SUM(L84:L97)</f>
        <v>20389.88725</v>
      </c>
      <c r="M98" s="63">
        <f>SUM(M84:M97)</f>
        <v>20389.88725</v>
      </c>
      <c r="N98" s="63">
        <f>SUM(N84:N97)</f>
        <v>0</v>
      </c>
      <c r="O98" s="63">
        <f>SUM(O84:O97)</f>
        <v>0</v>
      </c>
      <c r="P98" s="63">
        <f>SUM(P84:P97)</f>
        <v>0</v>
      </c>
      <c r="Q98" s="63">
        <f>SUM(Q84:Q97)</f>
        <v>844.7999999999998</v>
      </c>
      <c r="R98" s="63"/>
      <c r="S98" s="64">
        <f>SUM(S84:S97)</f>
        <v>824975</v>
      </c>
      <c r="T98" s="63">
        <f>SUM(T84:T97)</f>
        <v>0</v>
      </c>
      <c r="U98" s="63">
        <f>SUM(U84:U97)</f>
        <v>39886.553</v>
      </c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86"/>
      <c r="AG98" s="86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IV98" s="83"/>
    </row>
    <row r="99" spans="1:70" ht="12.75" customHeight="1">
      <c r="A99" s="44" t="s">
        <v>201</v>
      </c>
      <c r="B99" s="92" t="s">
        <v>127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86"/>
      <c r="AG99" s="86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</row>
    <row r="100" spans="1:70" ht="12.75">
      <c r="A100" s="44" t="s">
        <v>202</v>
      </c>
      <c r="B100" s="73" t="s">
        <v>116</v>
      </c>
      <c r="C100" s="58" t="s">
        <v>117</v>
      </c>
      <c r="D100" s="103">
        <f>427.14-72.06+123.555</f>
        <v>478.635</v>
      </c>
      <c r="E100" s="49">
        <f>D100-F100</f>
        <v>478.635</v>
      </c>
      <c r="F100" s="104"/>
      <c r="G100" s="104"/>
      <c r="H100" s="104"/>
      <c r="I100" s="104"/>
      <c r="J100" s="104"/>
      <c r="K100" s="104"/>
      <c r="L100" s="49">
        <f>D100</f>
        <v>478.635</v>
      </c>
      <c r="M100" s="49">
        <f>L100</f>
        <v>478.635</v>
      </c>
      <c r="N100" s="104"/>
      <c r="O100" s="104"/>
      <c r="P100" s="104"/>
      <c r="Q100" s="76"/>
      <c r="R100" s="104"/>
      <c r="S100" s="104"/>
      <c r="T100" s="104"/>
      <c r="U100" s="76">
        <v>0</v>
      </c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</row>
    <row r="101" spans="1:70" ht="12.75">
      <c r="A101" s="44" t="s">
        <v>203</v>
      </c>
      <c r="B101" s="47" t="s">
        <v>204</v>
      </c>
      <c r="C101" s="48" t="s">
        <v>138</v>
      </c>
      <c r="D101" s="98">
        <f>351209.63/1200</f>
        <v>292.67469166666666</v>
      </c>
      <c r="E101" s="98">
        <f>D101</f>
        <v>292.67469166666666</v>
      </c>
      <c r="F101" s="104"/>
      <c r="G101" s="104"/>
      <c r="H101" s="104"/>
      <c r="I101" s="104"/>
      <c r="J101" s="104"/>
      <c r="K101" s="104"/>
      <c r="L101" s="49">
        <f>D101</f>
        <v>292.67469166666666</v>
      </c>
      <c r="M101" s="49">
        <f>L101</f>
        <v>292.67469166666666</v>
      </c>
      <c r="N101" s="104"/>
      <c r="O101" s="104"/>
      <c r="P101" s="104"/>
      <c r="Q101" s="76"/>
      <c r="R101" s="104"/>
      <c r="S101" s="104"/>
      <c r="T101" s="104"/>
      <c r="U101" s="76">
        <v>0</v>
      </c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</row>
    <row r="102" spans="1:70" ht="12.75">
      <c r="A102" s="44" t="s">
        <v>205</v>
      </c>
      <c r="B102" s="55" t="s">
        <v>206</v>
      </c>
      <c r="C102" s="48" t="s">
        <v>207</v>
      </c>
      <c r="D102" s="96">
        <f>64.92/1.2</f>
        <v>54.1</v>
      </c>
      <c r="E102" s="96">
        <f>64.92/1.2</f>
        <v>54.1</v>
      </c>
      <c r="F102" s="104"/>
      <c r="G102" s="104"/>
      <c r="H102" s="104"/>
      <c r="I102" s="104"/>
      <c r="J102" s="104"/>
      <c r="K102" s="104"/>
      <c r="L102" s="49">
        <f>D102</f>
        <v>54.1</v>
      </c>
      <c r="M102" s="49">
        <f>L102</f>
        <v>54.1</v>
      </c>
      <c r="N102" s="104"/>
      <c r="O102" s="104"/>
      <c r="P102" s="104"/>
      <c r="Q102" s="76"/>
      <c r="R102" s="104"/>
      <c r="S102" s="104"/>
      <c r="T102" s="104"/>
      <c r="U102" s="76">
        <v>0</v>
      </c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</row>
    <row r="103" spans="1:70" ht="12.75">
      <c r="A103" s="44" t="s">
        <v>208</v>
      </c>
      <c r="B103" s="55" t="s">
        <v>209</v>
      </c>
      <c r="C103" s="48" t="s">
        <v>62</v>
      </c>
      <c r="D103" s="98">
        <f>269.9923/1.2</f>
        <v>224.99358333333333</v>
      </c>
      <c r="E103" s="98">
        <f>269.9923/1.2</f>
        <v>224.99358333333333</v>
      </c>
      <c r="F103" s="104"/>
      <c r="G103" s="104"/>
      <c r="H103" s="104"/>
      <c r="I103" s="104"/>
      <c r="J103" s="104"/>
      <c r="K103" s="104"/>
      <c r="L103" s="49">
        <f>D103</f>
        <v>224.99358333333333</v>
      </c>
      <c r="M103" s="49">
        <f>L103</f>
        <v>224.99358333333333</v>
      </c>
      <c r="N103" s="104"/>
      <c r="O103" s="104"/>
      <c r="P103" s="104"/>
      <c r="Q103" s="76"/>
      <c r="R103" s="104"/>
      <c r="S103" s="104"/>
      <c r="T103" s="104"/>
      <c r="U103" s="76">
        <v>0</v>
      </c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</row>
    <row r="104" spans="1:70" ht="12.75">
      <c r="A104" s="44" t="s">
        <v>210</v>
      </c>
      <c r="B104" s="55" t="s">
        <v>211</v>
      </c>
      <c r="C104" s="48" t="s">
        <v>62</v>
      </c>
      <c r="D104" s="49">
        <f>99990/1.2/1000</f>
        <v>83.325</v>
      </c>
      <c r="E104" s="76"/>
      <c r="F104" s="104"/>
      <c r="G104" s="104"/>
      <c r="H104" s="104"/>
      <c r="I104" s="104"/>
      <c r="J104" s="49">
        <f>99990/1.2/1000</f>
        <v>83.325</v>
      </c>
      <c r="K104" s="104"/>
      <c r="L104" s="49">
        <f>D104</f>
        <v>83.325</v>
      </c>
      <c r="M104" s="49">
        <f>L104</f>
        <v>83.325</v>
      </c>
      <c r="N104" s="104"/>
      <c r="O104" s="104"/>
      <c r="P104" s="104"/>
      <c r="Q104" s="76">
        <v>8.4</v>
      </c>
      <c r="R104" s="104"/>
      <c r="S104" s="71">
        <v>32400</v>
      </c>
      <c r="T104" s="104"/>
      <c r="U104" s="76">
        <v>111.9</v>
      </c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</row>
    <row r="105" spans="1:70" ht="12.75">
      <c r="A105" s="44" t="s">
        <v>212</v>
      </c>
      <c r="B105" s="73" t="s">
        <v>134</v>
      </c>
      <c r="C105" s="58" t="s">
        <v>135</v>
      </c>
      <c r="D105" s="76">
        <f>49+18</f>
        <v>67</v>
      </c>
      <c r="E105" s="76">
        <f>D105</f>
        <v>67</v>
      </c>
      <c r="F105" s="104"/>
      <c r="G105" s="104"/>
      <c r="H105" s="104"/>
      <c r="I105" s="104"/>
      <c r="J105" s="104"/>
      <c r="K105" s="104"/>
      <c r="L105" s="49">
        <f>D105</f>
        <v>67</v>
      </c>
      <c r="M105" s="49">
        <f>L105</f>
        <v>67</v>
      </c>
      <c r="N105" s="104"/>
      <c r="O105" s="104"/>
      <c r="P105" s="104"/>
      <c r="Q105" s="104"/>
      <c r="R105" s="104"/>
      <c r="S105" s="104"/>
      <c r="T105" s="104"/>
      <c r="U105" s="76">
        <v>0</v>
      </c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</row>
    <row r="106" spans="1:70" ht="12.75">
      <c r="A106" s="44" t="s">
        <v>213</v>
      </c>
      <c r="B106" s="105" t="s">
        <v>214</v>
      </c>
      <c r="C106" s="48" t="s">
        <v>138</v>
      </c>
      <c r="D106" s="76">
        <f>215.5</f>
        <v>215.5</v>
      </c>
      <c r="E106" s="106"/>
      <c r="F106" s="104"/>
      <c r="G106" s="104"/>
      <c r="H106" s="104"/>
      <c r="I106" s="104"/>
      <c r="J106" s="76">
        <f>215.5</f>
        <v>215.5</v>
      </c>
      <c r="K106" s="104"/>
      <c r="L106" s="49">
        <f>D106</f>
        <v>215.5</v>
      </c>
      <c r="M106" s="49">
        <f>L106</f>
        <v>215.5</v>
      </c>
      <c r="N106" s="104"/>
      <c r="O106" s="104"/>
      <c r="P106" s="104"/>
      <c r="Q106" s="76"/>
      <c r="R106" s="104"/>
      <c r="S106" s="104"/>
      <c r="T106" s="104"/>
      <c r="U106" s="76">
        <v>0</v>
      </c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</row>
    <row r="107" spans="1:70" ht="12.75">
      <c r="A107" s="44" t="s">
        <v>215</v>
      </c>
      <c r="B107" s="55" t="s">
        <v>216</v>
      </c>
      <c r="C107" s="48" t="s">
        <v>138</v>
      </c>
      <c r="D107" s="107">
        <f>531160.58/1200</f>
        <v>442.63381666666663</v>
      </c>
      <c r="E107" s="107">
        <f>D107</f>
        <v>442.63381666666663</v>
      </c>
      <c r="F107" s="104"/>
      <c r="G107" s="104"/>
      <c r="H107" s="104"/>
      <c r="I107" s="104"/>
      <c r="J107" s="76"/>
      <c r="K107" s="104"/>
      <c r="L107" s="49">
        <f>D107</f>
        <v>442.63381666666663</v>
      </c>
      <c r="M107" s="49">
        <f>L107</f>
        <v>442.63381666666663</v>
      </c>
      <c r="N107" s="104"/>
      <c r="O107" s="104"/>
      <c r="P107" s="104"/>
      <c r="Q107" s="76"/>
      <c r="R107" s="104"/>
      <c r="S107" s="104"/>
      <c r="T107" s="104"/>
      <c r="U107" s="76">
        <v>0</v>
      </c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</row>
    <row r="108" spans="1:70" ht="12.75">
      <c r="A108" s="44" t="s">
        <v>217</v>
      </c>
      <c r="B108" s="55" t="s">
        <v>218</v>
      </c>
      <c r="C108" s="48" t="s">
        <v>138</v>
      </c>
      <c r="D108" s="96">
        <f>E108</f>
        <v>316.30561</v>
      </c>
      <c r="E108" s="96">
        <f>316.30561</f>
        <v>316.30561</v>
      </c>
      <c r="F108" s="104"/>
      <c r="G108" s="104"/>
      <c r="H108" s="104"/>
      <c r="I108" s="104"/>
      <c r="J108" s="104"/>
      <c r="K108" s="104"/>
      <c r="L108" s="49">
        <f>D108</f>
        <v>316.30561</v>
      </c>
      <c r="M108" s="49">
        <f>L108</f>
        <v>316.30561</v>
      </c>
      <c r="N108" s="104"/>
      <c r="O108" s="104"/>
      <c r="P108" s="104"/>
      <c r="Q108" s="76"/>
      <c r="R108" s="104"/>
      <c r="S108" s="104"/>
      <c r="T108" s="104"/>
      <c r="U108" s="76">
        <v>0</v>
      </c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</row>
    <row r="109" spans="1:256" ht="12.75" customHeight="1">
      <c r="A109" s="42" t="s">
        <v>219</v>
      </c>
      <c r="B109" s="42"/>
      <c r="C109" s="42"/>
      <c r="D109" s="63">
        <f>SUM(D100:D108)</f>
        <v>2175.1677016666663</v>
      </c>
      <c r="E109" s="63">
        <f>SUM(E100:E108)</f>
        <v>1876.3427016666667</v>
      </c>
      <c r="F109" s="63">
        <f>SUM(F100:F108)</f>
        <v>0</v>
      </c>
      <c r="G109" s="63">
        <f>SUM(G100:G108)</f>
        <v>0</v>
      </c>
      <c r="H109" s="63">
        <f>SUM(H100:H108)</f>
        <v>0</v>
      </c>
      <c r="I109" s="63">
        <f>SUM(I100:I108)</f>
        <v>0</v>
      </c>
      <c r="J109" s="63">
        <f>SUM(J100:J108)</f>
        <v>298.825</v>
      </c>
      <c r="K109" s="63">
        <f>SUM(K100:K108)</f>
        <v>0</v>
      </c>
      <c r="L109" s="63">
        <f>SUM(L100:L108)</f>
        <v>2175.1677016666663</v>
      </c>
      <c r="M109" s="63">
        <f>SUM(M100:M108)</f>
        <v>2175.1677016666663</v>
      </c>
      <c r="N109" s="63">
        <f>SUM(N100:N104)</f>
        <v>0</v>
      </c>
      <c r="O109" s="63">
        <f>SUM(O100:O104)</f>
        <v>0</v>
      </c>
      <c r="P109" s="63">
        <f>SUM(P100:P104)</f>
        <v>0</v>
      </c>
      <c r="Q109" s="63">
        <f>SUM(Q100:Q104)</f>
        <v>8.4</v>
      </c>
      <c r="R109" s="63"/>
      <c r="S109" s="64">
        <f>SUM(S100:S104)</f>
        <v>32400</v>
      </c>
      <c r="T109" s="63">
        <f>SUM(T100:T104)</f>
        <v>0</v>
      </c>
      <c r="U109" s="63">
        <f>SUM(U100:U104)</f>
        <v>111.9</v>
      </c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IV109" s="83"/>
    </row>
    <row r="110" spans="1:256" ht="12.75" customHeight="1">
      <c r="A110" s="42" t="s">
        <v>220</v>
      </c>
      <c r="B110" s="42"/>
      <c r="C110" s="42"/>
      <c r="D110" s="79">
        <f>D109+D98+D82+D80+D77+D74</f>
        <v>24066.701351666667</v>
      </c>
      <c r="E110" s="79">
        <f>E109+E98+E82+E80+E77+E74</f>
        <v>6568.295935</v>
      </c>
      <c r="F110" s="79">
        <f>F109+F98+F82+F80+F77+F74</f>
        <v>0</v>
      </c>
      <c r="G110" s="79">
        <f>G109+G98+G82+G80+G77+G74</f>
        <v>0</v>
      </c>
      <c r="H110" s="79">
        <f>H109+H98+H82+H80+H77+H74</f>
        <v>0</v>
      </c>
      <c r="I110" s="79">
        <f>I109+I98+I82+I80+I77+I74</f>
        <v>0</v>
      </c>
      <c r="J110" s="79">
        <f>J109+J98+J82+J80+J77+J74</f>
        <v>17498.40511666667</v>
      </c>
      <c r="K110" s="79">
        <f>K109+K98+K82+K80+K77+K74</f>
        <v>0</v>
      </c>
      <c r="L110" s="79">
        <f>L109+L98+L82+L80+L77+L74</f>
        <v>24066.701351666667</v>
      </c>
      <c r="M110" s="79">
        <f>M109+M98+M82+M80+M77+M74</f>
        <v>24066.701351666667</v>
      </c>
      <c r="N110" s="79">
        <f>N109+N98+N82+N80+N77+N74</f>
        <v>0</v>
      </c>
      <c r="O110" s="79" t="e">
        <f>O109+O98+O82+O80+O77+O74</f>
        <v>#REF!</v>
      </c>
      <c r="P110" s="79">
        <f>P109+P98+P82+P80+P77+P74</f>
        <v>0</v>
      </c>
      <c r="Q110" s="79">
        <f>Q109+Q98+Q82+Q80+Q77+Q74</f>
        <v>854.3999999999999</v>
      </c>
      <c r="R110" s="79"/>
      <c r="S110" s="81">
        <f>S109+S98+S82+S80+S77+S74</f>
        <v>900270</v>
      </c>
      <c r="T110" s="79">
        <f>T109+T98+T82+T80+T77+T74</f>
        <v>0</v>
      </c>
      <c r="U110" s="79">
        <f>U109+U98+U82+U80+U77+U74</f>
        <v>57624.863</v>
      </c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IV110" s="83"/>
    </row>
    <row r="111" spans="1:256" ht="12.75" customHeight="1">
      <c r="A111" s="42" t="s">
        <v>221</v>
      </c>
      <c r="B111" s="42"/>
      <c r="C111" s="42"/>
      <c r="D111" s="82">
        <f>D110</f>
        <v>24066.701351666667</v>
      </c>
      <c r="E111" s="82">
        <f>E110</f>
        <v>6568.295935</v>
      </c>
      <c r="F111" s="82">
        <f>F110</f>
        <v>0</v>
      </c>
      <c r="G111" s="82">
        <f>G110</f>
        <v>0</v>
      </c>
      <c r="H111" s="82">
        <f>H110</f>
        <v>0</v>
      </c>
      <c r="I111" s="82">
        <f>I110</f>
        <v>0</v>
      </c>
      <c r="J111" s="82">
        <f>J110</f>
        <v>17498.40511666667</v>
      </c>
      <c r="K111" s="82">
        <f>K110</f>
        <v>0</v>
      </c>
      <c r="L111" s="82">
        <f>L110</f>
        <v>24066.701351666667</v>
      </c>
      <c r="M111" s="82">
        <f>M110</f>
        <v>24066.701351666667</v>
      </c>
      <c r="N111" s="82">
        <f>N110</f>
        <v>0</v>
      </c>
      <c r="O111" s="82" t="e">
        <f>O110</f>
        <v>#REF!</v>
      </c>
      <c r="P111" s="82">
        <f>P110</f>
        <v>0</v>
      </c>
      <c r="Q111" s="82">
        <f>Q110</f>
        <v>854.3999999999999</v>
      </c>
      <c r="R111" s="82"/>
      <c r="S111" s="108">
        <f>S110</f>
        <v>900270</v>
      </c>
      <c r="T111" s="82">
        <f>T110</f>
        <v>0</v>
      </c>
      <c r="U111" s="82">
        <f>U110</f>
        <v>57624.863</v>
      </c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IV111" s="83"/>
    </row>
    <row r="112" spans="1:256" ht="12.75" customHeight="1">
      <c r="A112" s="62" t="s">
        <v>222</v>
      </c>
      <c r="B112" s="62"/>
      <c r="C112" s="62"/>
      <c r="D112" s="109">
        <f>D111+D69</f>
        <v>55718.969750000004</v>
      </c>
      <c r="E112" s="109">
        <f>E111+E69</f>
        <v>12524.3976</v>
      </c>
      <c r="F112" s="109">
        <f>F111+F69</f>
        <v>0</v>
      </c>
      <c r="G112" s="109">
        <f>G111+G69</f>
        <v>0</v>
      </c>
      <c r="H112" s="109">
        <f>H111+H69</f>
        <v>0</v>
      </c>
      <c r="I112" s="109">
        <f>I111+I69</f>
        <v>0</v>
      </c>
      <c r="J112" s="109">
        <f>J111+J69</f>
        <v>43194.57185000001</v>
      </c>
      <c r="K112" s="109">
        <f>K111+K69</f>
        <v>0</v>
      </c>
      <c r="L112" s="109">
        <f>L111+L69</f>
        <v>55718.969750000004</v>
      </c>
      <c r="M112" s="109">
        <f>M111+M69</f>
        <v>55718.969750000004</v>
      </c>
      <c r="N112" s="109">
        <f>N111+N69</f>
        <v>0</v>
      </c>
      <c r="O112" s="109" t="e">
        <f>O111+O69</f>
        <v>#REF!</v>
      </c>
      <c r="P112" s="109">
        <f>P111+P69</f>
        <v>0</v>
      </c>
      <c r="Q112" s="109">
        <f>Q111+Q69</f>
        <v>2494.1</v>
      </c>
      <c r="R112" s="109"/>
      <c r="S112" s="110">
        <f>S111+S69</f>
        <v>1207572</v>
      </c>
      <c r="T112" s="109">
        <f>T111+T69</f>
        <v>0</v>
      </c>
      <c r="U112" s="109">
        <f>U111+U69</f>
        <v>66828.963</v>
      </c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IV112" s="83"/>
    </row>
    <row r="113" spans="1:21" ht="12.75" customHeight="1">
      <c r="A113" s="111" t="s">
        <v>223</v>
      </c>
      <c r="B113" s="111"/>
      <c r="C113" s="111"/>
      <c r="D113" s="111"/>
      <c r="E113" s="111"/>
      <c r="F113" s="111"/>
      <c r="G113" s="111"/>
      <c r="H113" s="15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</row>
    <row r="114" spans="1:21" ht="12.75">
      <c r="A114" s="113" t="s">
        <v>224</v>
      </c>
      <c r="B114" s="114"/>
      <c r="D114" s="115"/>
      <c r="E114" s="115"/>
      <c r="F114" s="116"/>
      <c r="G114" s="117"/>
      <c r="H114" s="117"/>
      <c r="I114" s="117"/>
      <c r="J114" s="117"/>
      <c r="K114" s="116"/>
      <c r="L114" s="116"/>
      <c r="M114" s="118"/>
      <c r="N114" s="118"/>
      <c r="O114" s="118"/>
      <c r="P114" s="116"/>
      <c r="Q114" s="119"/>
      <c r="R114" s="119"/>
      <c r="S114" s="119"/>
      <c r="T114" s="119"/>
      <c r="U114" s="119"/>
    </row>
    <row r="115" spans="1:256" ht="12.75">
      <c r="A115" s="113" t="s">
        <v>225</v>
      </c>
      <c r="B115" s="114"/>
      <c r="D115" s="30"/>
      <c r="E115" s="30"/>
      <c r="F115" s="112"/>
      <c r="G115" s="120"/>
      <c r="H115" s="120"/>
      <c r="I115" s="15"/>
      <c r="J115" s="15"/>
      <c r="K115" s="15"/>
      <c r="L115" s="15"/>
      <c r="M115" s="15"/>
      <c r="N115" s="15"/>
      <c r="O115" s="15"/>
      <c r="P115" s="15"/>
      <c r="Q115" s="121"/>
      <c r="R115" s="121"/>
      <c r="S115" s="121"/>
      <c r="T115" s="121"/>
      <c r="U115" s="122"/>
      <c r="IV115" s="4"/>
    </row>
    <row r="116" spans="1:21" s="4" customFormat="1" ht="12.75">
      <c r="A116" s="123" t="s">
        <v>226</v>
      </c>
      <c r="B116" s="123"/>
      <c r="C116" s="123"/>
      <c r="D116" s="123"/>
      <c r="E116" s="123"/>
      <c r="F116" s="123"/>
      <c r="G116" s="120"/>
      <c r="H116" s="120"/>
      <c r="I116" s="120"/>
      <c r="J116" s="15"/>
      <c r="K116" s="15"/>
      <c r="L116" s="15"/>
      <c r="M116" s="15"/>
      <c r="N116" s="120"/>
      <c r="O116" s="120"/>
      <c r="P116" s="120"/>
      <c r="Q116" s="122"/>
      <c r="R116" s="122"/>
      <c r="S116" s="122"/>
      <c r="T116" s="122"/>
      <c r="U116" s="121"/>
    </row>
    <row r="117" spans="1:21" ht="12.75">
      <c r="A117" s="124"/>
      <c r="B117" s="125"/>
      <c r="D117" s="126"/>
      <c r="F117" s="127"/>
      <c r="G117" s="127"/>
      <c r="H117" s="127"/>
      <c r="I117" s="128"/>
      <c r="J117" s="128"/>
      <c r="K117" s="128"/>
      <c r="L117" s="15"/>
      <c r="M117" s="15"/>
      <c r="N117" s="15"/>
      <c r="O117" s="15"/>
      <c r="P117" s="15"/>
      <c r="Q117" s="121"/>
      <c r="R117" s="121"/>
      <c r="S117" s="121"/>
      <c r="T117" s="121"/>
      <c r="U117" s="129"/>
    </row>
    <row r="118" spans="1:21" ht="12.75">
      <c r="A118" s="130" t="s">
        <v>227</v>
      </c>
      <c r="B118" s="131"/>
      <c r="D118" s="132"/>
      <c r="E118" s="132"/>
      <c r="F118" s="111"/>
      <c r="G118" s="111"/>
      <c r="H118" s="111"/>
      <c r="I118" s="111"/>
      <c r="J118" s="111"/>
      <c r="K118" s="111"/>
      <c r="L118" s="111"/>
      <c r="M118" s="111"/>
      <c r="N118" s="15"/>
      <c r="O118" s="15"/>
      <c r="P118" s="15"/>
      <c r="Q118" s="121"/>
      <c r="R118" s="121"/>
      <c r="S118" s="129"/>
      <c r="T118" s="129"/>
      <c r="U118" s="129"/>
    </row>
    <row r="119" spans="1:21" ht="12.75" customHeight="1">
      <c r="A119" s="6"/>
      <c r="B119" s="133" t="s">
        <v>228</v>
      </c>
      <c r="F119" s="111" t="s">
        <v>229</v>
      </c>
      <c r="G119" s="111"/>
      <c r="H119" s="111"/>
      <c r="I119" s="15"/>
      <c r="J119" s="134" t="s">
        <v>230</v>
      </c>
      <c r="K119" s="134"/>
      <c r="L119" s="134"/>
      <c r="M119" s="134"/>
      <c r="N119" s="134"/>
      <c r="O119" s="134"/>
      <c r="P119" s="134"/>
      <c r="Q119" s="121"/>
      <c r="R119" s="121"/>
      <c r="S119" s="129"/>
      <c r="T119" s="129"/>
      <c r="U119" s="129"/>
    </row>
    <row r="120" spans="6:21" ht="12.75"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21"/>
      <c r="R120" s="121"/>
      <c r="S120" s="129"/>
      <c r="T120" s="129"/>
      <c r="U120" s="129"/>
    </row>
    <row r="121" spans="2:256" ht="12.75">
      <c r="B121" s="135"/>
      <c r="D121" s="13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21"/>
      <c r="R121" s="121"/>
      <c r="S121" s="121"/>
      <c r="T121" s="129"/>
      <c r="U121" s="129"/>
      <c r="V121" s="5"/>
      <c r="IV121" s="4"/>
    </row>
    <row r="122" spans="6:256" ht="12.75"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21"/>
      <c r="R122" s="121"/>
      <c r="S122" s="121"/>
      <c r="T122" s="129"/>
      <c r="U122" s="129"/>
      <c r="V122" s="5"/>
      <c r="IV122" s="4"/>
    </row>
    <row r="123" spans="6:256" ht="12.75"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21"/>
      <c r="R123" s="121"/>
      <c r="S123" s="121"/>
      <c r="T123" s="129"/>
      <c r="U123" s="129"/>
      <c r="V123" s="5"/>
      <c r="IV123" s="4"/>
    </row>
    <row r="124" spans="6:256" ht="12.75"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21"/>
      <c r="R124" s="121"/>
      <c r="S124" s="121"/>
      <c r="T124" s="129"/>
      <c r="U124" s="129"/>
      <c r="V124" s="5"/>
      <c r="IV124" s="4"/>
    </row>
    <row r="125" spans="6:256" ht="12.75"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21"/>
      <c r="R125" s="121"/>
      <c r="S125" s="121"/>
      <c r="T125" s="129"/>
      <c r="U125" s="129"/>
      <c r="V125" s="5"/>
      <c r="IV125" s="4"/>
    </row>
    <row r="126" spans="6:256" ht="12.75"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21"/>
      <c r="R126" s="121"/>
      <c r="S126" s="121"/>
      <c r="T126" s="129"/>
      <c r="U126" s="129"/>
      <c r="V126" s="5"/>
      <c r="IV126" s="4"/>
    </row>
    <row r="127" spans="6:256" ht="12.75"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36"/>
      <c r="U127" s="136"/>
      <c r="V127" s="5"/>
      <c r="IV127" s="4"/>
    </row>
    <row r="128" spans="19:256" ht="12.75">
      <c r="S128" s="4"/>
      <c r="V128" s="5"/>
      <c r="IV128" s="4"/>
    </row>
  </sheetData>
  <sheetProtection selectLockedCells="1" selectUnlockedCells="1"/>
  <mergeCells count="86">
    <mergeCell ref="N1:U1"/>
    <mergeCell ref="B3:E3"/>
    <mergeCell ref="K3:P3"/>
    <mergeCell ref="B4:E4"/>
    <mergeCell ref="K4:Q4"/>
    <mergeCell ref="B5:E5"/>
    <mergeCell ref="K5:P5"/>
    <mergeCell ref="B6:E6"/>
    <mergeCell ref="K6:P6"/>
    <mergeCell ref="B7:F7"/>
    <mergeCell ref="M7:N7"/>
    <mergeCell ref="K8:Q8"/>
    <mergeCell ref="A11:R11"/>
    <mergeCell ref="A12:R12"/>
    <mergeCell ref="A13:R13"/>
    <mergeCell ref="A14:A17"/>
    <mergeCell ref="B14:B17"/>
    <mergeCell ref="C14:C17"/>
    <mergeCell ref="D14:J14"/>
    <mergeCell ref="K14:L14"/>
    <mergeCell ref="M14:P14"/>
    <mergeCell ref="Q14:Q17"/>
    <mergeCell ref="R14:R17"/>
    <mergeCell ref="S14:S17"/>
    <mergeCell ref="T14:T17"/>
    <mergeCell ref="U14:U17"/>
    <mergeCell ref="D15:D17"/>
    <mergeCell ref="E15:J15"/>
    <mergeCell ref="K15:K17"/>
    <mergeCell ref="L15:L17"/>
    <mergeCell ref="M15:M17"/>
    <mergeCell ref="N15:P16"/>
    <mergeCell ref="E16:E17"/>
    <mergeCell ref="F16:F17"/>
    <mergeCell ref="G16:G17"/>
    <mergeCell ref="H16:I16"/>
    <mergeCell ref="J16:J17"/>
    <mergeCell ref="N17:O17"/>
    <mergeCell ref="N18:O18"/>
    <mergeCell ref="B19:U19"/>
    <mergeCell ref="B20:U20"/>
    <mergeCell ref="B21:U21"/>
    <mergeCell ref="Q31:Q32"/>
    <mergeCell ref="R31:R32"/>
    <mergeCell ref="S31:S32"/>
    <mergeCell ref="T31:T32"/>
    <mergeCell ref="U31:U32"/>
    <mergeCell ref="A37:C37"/>
    <mergeCell ref="B38:U38"/>
    <mergeCell ref="A42:C42"/>
    <mergeCell ref="B43:U43"/>
    <mergeCell ref="A44:C44"/>
    <mergeCell ref="B45:U45"/>
    <mergeCell ref="A47:C47"/>
    <mergeCell ref="B48:U48"/>
    <mergeCell ref="A52:C52"/>
    <mergeCell ref="B53:U53"/>
    <mergeCell ref="A55:C55"/>
    <mergeCell ref="B56:U56"/>
    <mergeCell ref="A57:C57"/>
    <mergeCell ref="B58:U58"/>
    <mergeCell ref="A67:C67"/>
    <mergeCell ref="A68:C68"/>
    <mergeCell ref="A69:C69"/>
    <mergeCell ref="B70:U70"/>
    <mergeCell ref="B71:U71"/>
    <mergeCell ref="B72:U72"/>
    <mergeCell ref="A74:C74"/>
    <mergeCell ref="B75:U75"/>
    <mergeCell ref="A77:C77"/>
    <mergeCell ref="B78:U78"/>
    <mergeCell ref="A80:C80"/>
    <mergeCell ref="B81:U81"/>
    <mergeCell ref="A82:C82"/>
    <mergeCell ref="B83:U83"/>
    <mergeCell ref="A98:C98"/>
    <mergeCell ref="B99:U99"/>
    <mergeCell ref="A109:C109"/>
    <mergeCell ref="A110:C110"/>
    <mergeCell ref="A111:C111"/>
    <mergeCell ref="A112:C112"/>
    <mergeCell ref="A113:G113"/>
    <mergeCell ref="I113:U113"/>
    <mergeCell ref="A116:F116"/>
    <mergeCell ref="F119:H119"/>
    <mergeCell ref="J119:P119"/>
  </mergeCells>
  <printOptions/>
  <pageMargins left="0.15763888888888888" right="0.11805555555555555" top="0.6534722222222222" bottom="0.26319444444444445" header="0.5118055555555555" footer="0.5118055555555555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2023-12-14T13:28:58Z</cp:lastPrinted>
  <dcterms:created xsi:type="dcterms:W3CDTF">2013-12-16T14:16:32Z</dcterms:created>
  <dcterms:modified xsi:type="dcterms:W3CDTF">2023-12-15T07:25:29Z</dcterms:modified>
  <cp:category/>
  <cp:version/>
  <cp:contentType/>
  <cp:contentStatus/>
  <cp:revision>315</cp:revision>
</cp:coreProperties>
</file>