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П “Чорноморськводоканал”" sheetId="1" r:id="rId1"/>
  </sheets>
  <definedNames>
    <definedName name="_xlnm.Print_Area" localSheetId="0">'КП “Чорноморськводоканал”'!$A$1:$K$27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<sst xmlns="http://schemas.openxmlformats.org/spreadsheetml/2006/main" count="13" uniqueCount="13">
  <si>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Оцінка економічної ефективності інвестиційної програми </t>
  </si>
  <si>
    <t>КП “Чорноморськводоканал”</t>
  </si>
  <si>
    <t>(назва підприємства)</t>
  </si>
  <si>
    <t>Роки</t>
  </si>
  <si>
    <t xml:space="preserve">Інвестиційні витрати  I  </t>
  </si>
  <si>
    <t>Річний ЕЕ   CF</t>
  </si>
  <si>
    <t>Ставка дисконтування</t>
  </si>
  <si>
    <t>Чиста приведена вартість NPV</t>
  </si>
  <si>
    <t>Дисконт. річний ЕЕ</t>
  </si>
  <si>
    <t>Сумарний дисконт. річний ЕЕ</t>
  </si>
  <si>
    <t>Дисконт. період окупності DPP</t>
  </si>
  <si>
    <t>Внутрішня норма доходності IRR</t>
  </si>
  <si>
    <t>Індекс прибутковості PI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</si>
</sst>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top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168" fontId="4" fillId="2" borderId="14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6" fillId="2" borderId="11" xfId="0" applyFont="1" applyFill="1" applyBorder="1" applyAlignment="1">
      <alignment horizontal="center"/>
    </xf>
    <xf numFmtId="164" fontId="6" fillId="2" borderId="12" xfId="0" applyFont="1" applyFill="1" applyBorder="1" applyAlignment="1">
      <alignment horizontal="center"/>
    </xf>
    <xf numFmtId="167" fontId="6" fillId="2" borderId="12" xfId="0" applyNumberFormat="1" applyFont="1" applyFill="1" applyBorder="1" applyAlignment="1">
      <alignment horizontal="center"/>
    </xf>
    <xf numFmtId="167" fontId="6" fillId="2" borderId="13" xfId="0" applyNumberFormat="1" applyFont="1" applyFill="1" applyBorder="1" applyAlignment="1">
      <alignment horizontal="center"/>
    </xf>
    <xf numFmtId="168" fontId="6" fillId="2" borderId="14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167" fontId="5" fillId="3" borderId="13" xfId="0" applyNumberFormat="1" applyFont="1" applyFill="1" applyBorder="1" applyAlignment="1">
      <alignment horizontal="center"/>
    </xf>
    <xf numFmtId="168" fontId="5" fillId="3" borderId="14" xfId="0" applyNumberFormat="1" applyFont="1" applyFill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  <xf numFmtId="164" fontId="5" fillId="3" borderId="16" xfId="0" applyFont="1" applyFill="1" applyBorder="1" applyAlignment="1">
      <alignment horizontal="center"/>
    </xf>
    <xf numFmtId="164" fontId="4" fillId="3" borderId="17" xfId="0" applyFont="1" applyFill="1" applyBorder="1" applyAlignment="1">
      <alignment horizontal="center"/>
    </xf>
    <xf numFmtId="167" fontId="7" fillId="3" borderId="17" xfId="0" applyNumberFormat="1" applyFont="1" applyFill="1" applyBorder="1" applyAlignment="1">
      <alignment horizontal="center"/>
    </xf>
    <xf numFmtId="167" fontId="4" fillId="3" borderId="17" xfId="0" applyNumberFormat="1" applyFont="1" applyFill="1" applyBorder="1" applyAlignment="1">
      <alignment horizontal="center"/>
    </xf>
    <xf numFmtId="164" fontId="4" fillId="3" borderId="18" xfId="0" applyFont="1" applyFill="1" applyBorder="1" applyAlignment="1">
      <alignment horizontal="center"/>
    </xf>
    <xf numFmtId="168" fontId="7" fillId="3" borderId="19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D5" sqref="D5"/>
    </sheetView>
  </sheetViews>
  <sheetFormatPr defaultColWidth="9.140625" defaultRowHeight="15"/>
  <cols>
    <col min="1" max="1" width="8.7109375" style="0" customWidth="1"/>
    <col min="2" max="2" width="14.421875" style="0" customWidth="1"/>
    <col min="3" max="3" width="11.421875" style="0" customWidth="1"/>
    <col min="4" max="4" width="9.8515625" style="0" customWidth="1"/>
    <col min="5" max="5" width="16.00390625" style="0" customWidth="1"/>
    <col min="6" max="6" width="12.421875" style="0" customWidth="1"/>
    <col min="7" max="7" width="12.8515625" style="0" customWidth="1"/>
    <col min="8" max="8" width="12.00390625" style="0" customWidth="1"/>
    <col min="9" max="9" width="10.7109375" style="0" customWidth="1"/>
    <col min="10" max="10" width="10.140625" style="0" customWidth="1"/>
    <col min="11" max="11" width="13.14062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5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3"/>
      <c r="K3" s="3"/>
    </row>
    <row r="4" spans="1:11" ht="110.2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10</v>
      </c>
      <c r="I4" s="7"/>
      <c r="J4" s="6" t="s">
        <v>11</v>
      </c>
      <c r="K4" s="8" t="s">
        <v>12</v>
      </c>
    </row>
    <row r="5" spans="1:11" ht="23.25" customHeight="1">
      <c r="A5" s="9"/>
      <c r="B5" s="10">
        <v>18424.36</v>
      </c>
      <c r="C5" s="11">
        <v>8669.17</v>
      </c>
      <c r="D5" s="12">
        <v>0.124</v>
      </c>
      <c r="E5" s="13">
        <f>B5/(1+D5)</f>
        <v>16391.779359430602</v>
      </c>
      <c r="F5" s="14"/>
      <c r="G5" s="14"/>
      <c r="H5" s="15"/>
      <c r="I5" s="14">
        <f>-B5</f>
        <v>-18424.36</v>
      </c>
      <c r="J5" s="16"/>
      <c r="K5" s="17"/>
    </row>
    <row r="6" spans="1:11" ht="23.25" customHeight="1">
      <c r="A6" s="18">
        <v>1</v>
      </c>
      <c r="B6" s="19"/>
      <c r="C6" s="19"/>
      <c r="D6" s="19"/>
      <c r="E6" s="20">
        <f>-B5/(1+D5)^1+C5/(1+D5)</f>
        <v>-8678.994661921706</v>
      </c>
      <c r="F6" s="20">
        <f>C5/(1+D5)^1</f>
        <v>7712.784697508896</v>
      </c>
      <c r="G6" s="20">
        <f>C5/(1+D5)^1</f>
        <v>7712.784697508896</v>
      </c>
      <c r="H6" s="21"/>
      <c r="I6" s="19">
        <f>C5</f>
        <v>8669.17</v>
      </c>
      <c r="J6" s="22">
        <f>IRR(I5:I6)</f>
        <v>0</v>
      </c>
      <c r="K6" s="23">
        <f>G6/E5</f>
        <v>0.470527605843568</v>
      </c>
    </row>
    <row r="7" spans="1:11" ht="23.25" customHeight="1">
      <c r="A7" s="24">
        <v>2</v>
      </c>
      <c r="B7" s="25"/>
      <c r="C7" s="25"/>
      <c r="D7" s="25"/>
      <c r="E7" s="26">
        <f>-B5/(1+D5)^1+C5/(1+D5)+C5/(1+D5)^2</f>
        <v>-1817.0865680525822</v>
      </c>
      <c r="F7" s="26">
        <f>C5/(1+D5)^2</f>
        <v>6861.908093869124</v>
      </c>
      <c r="G7" s="26">
        <f aca="true" t="shared" si="0" ref="G7:G25">G6+F7</f>
        <v>14574.69279137802</v>
      </c>
      <c r="H7" s="27"/>
      <c r="I7" s="25">
        <f>C5</f>
        <v>8669.17</v>
      </c>
      <c r="J7" s="28">
        <f>IRR(I5:I7)</f>
        <v>-0.039562657290126396</v>
      </c>
      <c r="K7" s="29">
        <f>G7/E5</f>
        <v>0.8891464722524363</v>
      </c>
    </row>
    <row r="8" spans="1:11" ht="23.25" customHeight="1">
      <c r="A8" s="24">
        <v>3</v>
      </c>
      <c r="B8" s="25"/>
      <c r="C8" s="25"/>
      <c r="D8" s="25"/>
      <c r="E8" s="26">
        <f>-B5/(1+D5)^1+C5/(1+D5)+C5/(1+D5)^2+C5/(1+D5)^3</f>
        <v>4287.813871332759</v>
      </c>
      <c r="F8" s="26">
        <f>C5/(1+D5)^3</f>
        <v>6104.900439385341</v>
      </c>
      <c r="G8" s="26">
        <f t="shared" si="0"/>
        <v>20679.593230763363</v>
      </c>
      <c r="H8" s="27"/>
      <c r="I8" s="25">
        <f>C5</f>
        <v>8669.17</v>
      </c>
      <c r="J8" s="28">
        <f>IRR(I5:I8)</f>
        <v>0.19434624933664132</v>
      </c>
      <c r="K8" s="29">
        <f>G8/E5</f>
        <v>1.2615831861393298</v>
      </c>
    </row>
    <row r="9" spans="1:11" ht="23.25" customHeight="1">
      <c r="A9" s="24">
        <v>4</v>
      </c>
      <c r="B9" s="25"/>
      <c r="C9" s="25"/>
      <c r="D9" s="25"/>
      <c r="E9" s="26">
        <f>-B5/(1+D5)^1+C5/(1+D5)+C5/(1+D5)^2+C5/(1+D5)^3+C5/(1+D5)^4</f>
        <v>9719.21995619516</v>
      </c>
      <c r="F9" s="26">
        <f>C5/(1+D5)^4</f>
        <v>5431.406084862402</v>
      </c>
      <c r="G9" s="26">
        <f t="shared" si="0"/>
        <v>26110.999315625766</v>
      </c>
      <c r="H9" s="30"/>
      <c r="I9" s="25">
        <f>C5</f>
        <v>8669.17</v>
      </c>
      <c r="J9" s="28">
        <f>IRR(I5:I9)</f>
        <v>0.31147197362885276</v>
      </c>
      <c r="K9" s="29">
        <f>G9/E5</f>
        <v>1.5929325757184165</v>
      </c>
    </row>
    <row r="10" spans="1:11" ht="23.25" customHeight="1">
      <c r="A10" s="31">
        <v>5</v>
      </c>
      <c r="B10" s="32"/>
      <c r="C10" s="32"/>
      <c r="D10" s="32"/>
      <c r="E10" s="33">
        <f>-B5/(1+D5)^1+C5/(1+D5)+C5/(1+D5)^2+C5/(1+D5)^3+C5/(1+D5)^4+C5/(1+D5)^5</f>
        <v>14551.43177546776</v>
      </c>
      <c r="F10" s="33">
        <f>C5/(1+D5)^5</f>
        <v>4832.211819272599</v>
      </c>
      <c r="G10" s="33">
        <f t="shared" si="0"/>
        <v>30943.211134898367</v>
      </c>
      <c r="H10" s="34"/>
      <c r="I10" s="32">
        <f>C5</f>
        <v>8669.17</v>
      </c>
      <c r="J10" s="35">
        <f>IRR(I5:I10)</f>
        <v>0.37468143377875995</v>
      </c>
      <c r="K10" s="36">
        <f>G10/E5</f>
        <v>1.8877274063047926</v>
      </c>
    </row>
    <row r="11" spans="1:11" ht="23.25" customHeight="1">
      <c r="A11" s="24">
        <v>6</v>
      </c>
      <c r="B11" s="25"/>
      <c r="C11" s="25"/>
      <c r="D11" s="25"/>
      <c r="E11" s="26">
        <f>-B5/(1+D5)^1+C5/(1+D5)+C5/(1+D5)^2+C5/(1+D5)^3+C5/(1+D5)^4+C5/(1+D5)^5+C5/(1+D5)^6</f>
        <v>18850.552611119536</v>
      </c>
      <c r="F11" s="26">
        <f>C5/(1+D5)^6</f>
        <v>4299.120835651778</v>
      </c>
      <c r="G11" s="26">
        <f t="shared" si="0"/>
        <v>35242.33197055015</v>
      </c>
      <c r="H11" s="34"/>
      <c r="I11" s="25">
        <f>C5</f>
        <v>8669.17</v>
      </c>
      <c r="J11" s="28">
        <f>IRR(I5:I11)</f>
        <v>0.41087049800337205</v>
      </c>
      <c r="K11" s="29">
        <f>G11/E5</f>
        <v>2.150000387253526</v>
      </c>
    </row>
    <row r="12" spans="1:11" ht="23.25" customHeight="1">
      <c r="A12" s="31">
        <v>7</v>
      </c>
      <c r="B12" s="32"/>
      <c r="C12" s="32"/>
      <c r="D12" s="32"/>
      <c r="E12" s="33">
        <f>-B5/(1+D5)^1+C5/(1+D5)+C5/(1+D5)^2+C5/(1+D5)^3+C5/(1+D5)^4+C5/(1+D5)^5+C5/(1+D5)^6+C5/(1+D5)^7</f>
        <v>22675.39321223322</v>
      </c>
      <c r="F12" s="33">
        <f>C5/(1+D5)^7</f>
        <v>3824.840601113682</v>
      </c>
      <c r="G12" s="33">
        <f t="shared" si="0"/>
        <v>39067.17257166383</v>
      </c>
      <c r="H12" s="34"/>
      <c r="I12" s="32">
        <f>C5</f>
        <v>8669.17</v>
      </c>
      <c r="J12" s="35">
        <f>IRR(I5:I12)</f>
        <v>0.4325189535197699</v>
      </c>
      <c r="K12" s="36">
        <f>G12/E5</f>
        <v>2.3833393382755306</v>
      </c>
    </row>
    <row r="13" spans="1:11" ht="23.25" customHeight="1">
      <c r="A13" s="37">
        <v>8</v>
      </c>
      <c r="B13" s="38"/>
      <c r="C13" s="38"/>
      <c r="D13" s="38"/>
      <c r="E13" s="39">
        <f>-B5/(1+D5)^1+C5/(1+D5)+C5/(1+D5)^2+C5/(1+D5)^3+C5/(1+D5)^4+C5/(1+D5)^5+C5/(1+D5)^6+C5/(1+D5)^7+C5/(1+D5)^8</f>
        <v>26078.276309309447</v>
      </c>
      <c r="F13" s="39">
        <f>C5/(1+D5)^8</f>
        <v>3402.8830970762288</v>
      </c>
      <c r="G13" s="39">
        <f t="shared" si="0"/>
        <v>42470.05566874006</v>
      </c>
      <c r="H13" s="40">
        <f>7+(1+(G13-E5)/F13)</f>
        <v>15.66358278123513</v>
      </c>
      <c r="I13" s="38">
        <f>C5</f>
        <v>8669.17</v>
      </c>
      <c r="J13" s="41">
        <f>IRR(I5:I13)</f>
        <v>0.44589626712268</v>
      </c>
      <c r="K13" s="42">
        <f>G13/E5</f>
        <v>2.5909362697897693</v>
      </c>
    </row>
    <row r="14" spans="1:11" ht="23.25" customHeight="1">
      <c r="A14" s="18">
        <v>9</v>
      </c>
      <c r="B14" s="19"/>
      <c r="C14" s="19"/>
      <c r="D14" s="19"/>
      <c r="E14" s="20">
        <f>-B5/(1+D5)^1+C5/(1+D5)+C5/(1+D5)^2+C5/(1+D5)^3+C5/(1+D5)^4+C5/(1+D5)^5+C5/(1+D5)^6+C5/(1+D5)^7+C5/(1+D5)^8+C5/(1+D5)^9</f>
        <v>29105.752374323885</v>
      </c>
      <c r="F14" s="20">
        <f>C5/(1+D5)^9</f>
        <v>3027.4760650144385</v>
      </c>
      <c r="G14" s="20">
        <f t="shared" si="0"/>
        <v>45497.5317337545</v>
      </c>
      <c r="H14" s="21"/>
      <c r="I14" s="19">
        <f>C5</f>
        <v>8669.17</v>
      </c>
      <c r="J14" s="22">
        <f>IRR(I5:I14)</f>
        <v>0.4543644625772226</v>
      </c>
      <c r="K14" s="23">
        <f>G14/E5</f>
        <v>2.7756310487170284</v>
      </c>
    </row>
    <row r="15" spans="1:11" ht="23.25" customHeight="1">
      <c r="A15" s="18">
        <v>10</v>
      </c>
      <c r="B15" s="19"/>
      <c r="C15" s="19"/>
      <c r="D15" s="19"/>
      <c r="E15" s="20">
        <f>-B5/(1+D5)^1+C5/(1+D5)+C5/(1+D5)^2+C5/(1+D5)^3+C5/(1+D5)^4+C5/(1+D5)^5+C5/(1+D5)^6+C5/(1+D5)^7+C5/(1+D5)^8+C5/(1+D5)^9+C5/(1+D5)^10</f>
        <v>31799.236417931035</v>
      </c>
      <c r="F15" s="20">
        <f>C5/(1+D5)^10</f>
        <v>2693.4840436071513</v>
      </c>
      <c r="G15" s="20">
        <f t="shared" si="0"/>
        <v>48191.01577736165</v>
      </c>
      <c r="H15" s="21"/>
      <c r="I15" s="19">
        <f>C5</f>
        <v>8669.17</v>
      </c>
      <c r="J15" s="22">
        <f>IRR(I5:I15)</f>
        <v>0.459822669914123</v>
      </c>
      <c r="K15" s="23">
        <f>G15/E5</f>
        <v>2.9399502470508883</v>
      </c>
    </row>
    <row r="16" spans="1:11" ht="23.25" customHeight="1">
      <c r="A16" s="18">
        <v>11</v>
      </c>
      <c r="B16" s="19"/>
      <c r="C16" s="19"/>
      <c r="D16" s="19"/>
      <c r="E16" s="20">
        <f>-B5/(1+D5)^1+C5/(1+D5)+C5/(1+D5)^2+C5/(1+D5)^3+C5/(1+D5)^4+C5/(1+D5)^5+C5/(1+D5)^6+C5/(1+D5)^7+C5/(1+D5)^8+C5/(1+D5)^9+C5/(1+D5)^10+C5/(1+D5)^11</f>
        <v>34195.574535019245</v>
      </c>
      <c r="F16" s="20">
        <f>C5/(1+D5)^11</f>
        <v>2396.3381170882126</v>
      </c>
      <c r="G16" s="20">
        <f t="shared" si="0"/>
        <v>50587.353894449865</v>
      </c>
      <c r="H16" s="21"/>
      <c r="I16" s="19">
        <f>C5</f>
        <v>8669.17</v>
      </c>
      <c r="J16" s="22">
        <f>IRR(I5:I16)</f>
        <v>0.4633887558332359</v>
      </c>
      <c r="K16" s="23">
        <f>G16/E5</f>
        <v>3.0861417046432904</v>
      </c>
    </row>
    <row r="17" spans="1:11" ht="23.25" customHeight="1">
      <c r="A17" s="18">
        <v>12</v>
      </c>
      <c r="B17" s="19"/>
      <c r="C17" s="19"/>
      <c r="D17" s="19"/>
      <c r="E17" s="20">
        <f>-B5/(1+D5)^1+C5/(1+D5)+C5/(1+D5)^2+C5/(1+D5)^3+C5/(1+D5)^4+C5/(1+D5)^5+C5/(1+D5)^6+C5/(1+D5)^7+C5/(1+D5)^8+C5/(1+D5)^9+C5/(1+D5)^10+C5/(1+D5)^11+C5/(1+D5)^12</f>
        <v>36327.54794879879</v>
      </c>
      <c r="F17" s="20">
        <f>C5/(1+D5)^12</f>
        <v>2131.9734137795485</v>
      </c>
      <c r="G17" s="20">
        <f t="shared" si="0"/>
        <v>52719.32730822941</v>
      </c>
      <c r="H17" s="21"/>
      <c r="I17" s="19">
        <f>C5</f>
        <v>8669.17</v>
      </c>
      <c r="J17" s="22">
        <f>IRR(I5:I17)</f>
        <v>0.46574248403333324</v>
      </c>
      <c r="K17" s="23">
        <f>G17/E5</f>
        <v>3.216205279013755</v>
      </c>
    </row>
    <row r="18" spans="1:11" ht="23.25" customHeight="1">
      <c r="A18" s="18">
        <v>13</v>
      </c>
      <c r="B18" s="19"/>
      <c r="C18" s="19"/>
      <c r="D18" s="19"/>
      <c r="E18" s="20">
        <f>-B5/(1+D5)^1+C5/(1+D5)+C5/(1+D5)^2+C5/(1+D5)^3+C5/(1+D5)^4+C5/(1+D5)^5+C5/(1+D5)^6+C5/(1+D5)^7+C5/(1+D5)^8+C5/(1+D5)^9+C5/(1+D5)^10+C5/(1+D5)^11+C5/(1+D5)^12+C5/(1+D5)^13</f>
        <v>38224.321448602655</v>
      </c>
      <c r="F18" s="20">
        <f>C5/(1+D5)^13</f>
        <v>1896.7734998038686</v>
      </c>
      <c r="G18" s="20">
        <f t="shared" si="0"/>
        <v>54616.10080803328</v>
      </c>
      <c r="H18" s="21"/>
      <c r="I18" s="19">
        <f>C5</f>
        <v>8669.17</v>
      </c>
      <c r="J18" s="22">
        <f>IRR(I5:I18)</f>
        <v>0.4673079565672394</v>
      </c>
      <c r="K18" s="23">
        <f>G18/E5</f>
        <v>3.3319202028308945</v>
      </c>
    </row>
    <row r="19" spans="1:11" ht="23.25" customHeight="1">
      <c r="A19" s="18">
        <v>14</v>
      </c>
      <c r="B19" s="19"/>
      <c r="C19" s="19"/>
      <c r="D19" s="19"/>
      <c r="E19" s="20">
        <f>-B5/(1+D5)^1+C5/(1+D5)+C5/(1+D5)^2+C5/(1+D5)^3+C5/(1+D5)^4+C5/(1+D5)^5+C5/(1+D5)^6+C5/(1+D5)^7+C5/(1+D5)^8+C5/(1+D5)^9+C5/(1+D5)^10+C5/(1+D5)^11+C5/(1+D5)^12+C5/(1+D5)^13+C5/(1+D5)^14</f>
        <v>39911.84235590147</v>
      </c>
      <c r="F19" s="20">
        <f>C5/(1+D5)^14</f>
        <v>1687.520907298815</v>
      </c>
      <c r="G19" s="20">
        <f t="shared" si="0"/>
        <v>56303.6217153321</v>
      </c>
      <c r="H19" s="21"/>
      <c r="I19" s="19">
        <f>C5</f>
        <v>8669.17</v>
      </c>
      <c r="J19" s="22">
        <f>IRR(I5:I19)</f>
        <v>0.4683551571526037</v>
      </c>
      <c r="K19" s="23">
        <f>G19/E5</f>
        <v>3.4348694233087764</v>
      </c>
    </row>
    <row r="20" spans="1:11" ht="23.25" customHeight="1">
      <c r="A20" s="18">
        <v>15</v>
      </c>
      <c r="B20" s="19"/>
      <c r="C20" s="19"/>
      <c r="D20" s="19"/>
      <c r="E20" s="20">
        <f>-B5/(1+D5)^1+C5/(1+D5)+C5/(1+D5)^2+C5/(1+D5)^3+C5/(1+D5)^4+C5/(1+D5)^5+C5/(1+D5)^6+C5/(1+D5)^7+C5/(1+D5)^8+C5/(1+D5)^9+C5/(1+D5)^10+C5/(1+D5)^11+C5/(1+D5)^12+C5/(1+D5)^13+C5/(1+D5)^14+C5/(1+D5)^15</f>
        <v>41413.19547627408</v>
      </c>
      <c r="F20" s="20">
        <f>C5/(1+D5)^15</f>
        <v>1501.3531203726113</v>
      </c>
      <c r="G20" s="20">
        <f t="shared" si="0"/>
        <v>57804.97483570471</v>
      </c>
      <c r="H20" s="21"/>
      <c r="I20" s="19">
        <f>C5</f>
        <v>8669.17</v>
      </c>
      <c r="J20" s="22">
        <f>IRR(I5:I20)</f>
        <v>0.4690586865815514</v>
      </c>
      <c r="K20" s="23">
        <f>G20/E5</f>
        <v>3.5264612564741515</v>
      </c>
    </row>
    <row r="21" spans="1:11" ht="23.25" customHeight="1">
      <c r="A21" s="18">
        <v>16</v>
      </c>
      <c r="B21" s="19"/>
      <c r="C21" s="19"/>
      <c r="D21" s="19"/>
      <c r="E21" s="20">
        <f>-B5/(1+D5)^1+C5/(1+D5)+C5/(1+D5)^2+C5/(1+D5)^3+C5/(1+D5)^4+C5/(1+D5)^5+C5/(1+D5)^6+C5/(1+D5)^7+C5/(1+D5)^8+C5/(1+D5)^9+C5/(1+D5)^10+C5/(1+D5)^11+C5/(1+D5)^12+C5/(1+D5)^13+C5/(1+D5)^14+C5/(1+D5)^15+C5/(1+D5)^16</f>
        <v>42748.91889297569</v>
      </c>
      <c r="F21" s="20">
        <f>C5/(1+D5)^16</f>
        <v>1335.7234167016113</v>
      </c>
      <c r="G21" s="20">
        <f t="shared" si="0"/>
        <v>59140.69825240632</v>
      </c>
      <c r="H21" s="21"/>
      <c r="I21" s="19">
        <f>C5</f>
        <v>8669.17</v>
      </c>
      <c r="J21" s="22">
        <f>IRR(I5:I21)</f>
        <v>0.46953285039492043</v>
      </c>
      <c r="K21" s="23">
        <f>G21/E5</f>
        <v>3.6079486525287563</v>
      </c>
    </row>
    <row r="22" spans="1:11" ht="23.25" customHeight="1">
      <c r="A22" s="18">
        <v>17</v>
      </c>
      <c r="B22" s="19"/>
      <c r="C22" s="19"/>
      <c r="D22" s="19"/>
      <c r="E22" s="20">
        <f>-B5/(1+D5)^1+C5/(1+D5)+C5/(1+D5)^2+C5/(1+D5)^3+C5/(1+D5)^4+C5/(1+D5)^5+C5/(1+D5)^6+C5/(1+D5)^7+C5/(1+D5)^8+C5/(1+D5)^9+C5/(1+D5)^10+C5/(1+D5)^11+C5/(1+D5)^12+C5/(1+D5)^13+C5/(1+D5)^14+C5/(1+D5)^15+C5/(1+D5)^16+C5/(1+D5)^17</f>
        <v>43937.28492206965</v>
      </c>
      <c r="F22" s="20">
        <f>C5/(1+D5)^17</f>
        <v>1188.3660290939602</v>
      </c>
      <c r="G22" s="20">
        <f t="shared" si="0"/>
        <v>60329.06428150028</v>
      </c>
      <c r="H22" s="21"/>
      <c r="I22" s="19">
        <f>C5</f>
        <v>8669.17</v>
      </c>
      <c r="J22" s="22">
        <f>IRR(I5:I22)</f>
        <v>0.46985318994254716</v>
      </c>
      <c r="K22" s="23">
        <f>G22/E5</f>
        <v>3.680446335851358</v>
      </c>
    </row>
    <row r="23" spans="1:11" ht="23.25" customHeight="1">
      <c r="A23" s="18">
        <v>18</v>
      </c>
      <c r="B23" s="19"/>
      <c r="C23" s="19"/>
      <c r="D23" s="19"/>
      <c r="E23" s="20">
        <f>-B5/(1+D5)^1+C5/(1+D5)+C5/(1+D5)^2+C5/(1+D5)^3+C5/(1+D5)^4+C5/(1+D5)^5+C5/(1+D5)^6+C5/(1+D5)^7+C5/(1+D5)^8+C5/(1+D5)^9+C5/(1+D5)^10+C5/(1+D5)^11+C5/(1+D5)^12+C5/(1+D5)^13+C5/(1+D5)^14+C5/(1+D5)^15+C5/(1+D5)^16+C5/(1+D5)^17+C5/(1+D5)^18</f>
        <v>44994.55007250912</v>
      </c>
      <c r="F23" s="20">
        <f>C5/(1+D5)^18</f>
        <v>1057.2651504394662</v>
      </c>
      <c r="G23" s="20">
        <f t="shared" si="0"/>
        <v>61386.32943193975</v>
      </c>
      <c r="H23" s="21"/>
      <c r="I23" s="19">
        <f>C5</f>
        <v>8669.17</v>
      </c>
      <c r="J23" s="22">
        <f>IRR(I5:I23)</f>
        <v>0.4700699901689745</v>
      </c>
      <c r="K23" s="23">
        <f>G23/E5</f>
        <v>3.7449460541099007</v>
      </c>
    </row>
    <row r="24" spans="1:11" ht="23.25" customHeight="1">
      <c r="A24" s="18">
        <v>19</v>
      </c>
      <c r="B24" s="19"/>
      <c r="C24" s="19"/>
      <c r="D24" s="19"/>
      <c r="E24" s="20">
        <f>-B5/(1+D5)^1+C5/(1+D5)+C5/(1+D5)^2+C5/(1+D5)^3+C5/(1+D5)^4+C5/(1+D5)^5+C5/(1+D5)^6+C5/(1+D5)^7+C5/(1+D5)^8+C5/(1+D5)^9+C5/(1+D5)^10+C5/(1+D5)^11+C5/(1+D5)^12+C5/(1+D5)^13+C5/(1+D5)^14+C5/(1+D5)^15+C5/(1+D5)^16+C5/(1+D5)^17+C5/(1+D5)^18+C5/(1+D5)^19</f>
        <v>45935.177430551346</v>
      </c>
      <c r="F24" s="20">
        <f>C5/(1+D5)^19</f>
        <v>940.6273580422296</v>
      </c>
      <c r="G24" s="20">
        <f t="shared" si="0"/>
        <v>62326.956789981974</v>
      </c>
      <c r="H24" s="21"/>
      <c r="I24" s="19">
        <f>C5</f>
        <v>8669.17</v>
      </c>
      <c r="J24" s="22">
        <f>IRR(I5:I24)</f>
        <v>0.47021690798349736</v>
      </c>
      <c r="K24" s="23">
        <f>G24/E5</f>
        <v>3.8023301450872515</v>
      </c>
    </row>
    <row r="25" spans="1:11" ht="23.25" customHeight="1">
      <c r="A25" s="43">
        <v>20</v>
      </c>
      <c r="B25" s="44"/>
      <c r="C25" s="44"/>
      <c r="D25" s="44"/>
      <c r="E25" s="45">
        <f>-B5/(1+D5)^1+C5/(1+D5)+C5/(1+D5)^2+C5/(1+D5)^3+C5/(1+D5)^4+C5/(1+D5)^5+C5/(1+D5)^6+C5/(1+D5)^7+C5/(1+D5)^8+C5/(1+D5)^9+C5/(1+D5)^10+C5/(1+D5)^11+C5/(1+D5)^12+C5/(1+D5)^13+C5/(1+D5)^14+C5/(1+D5)^15+C5/(1+D5)^16+C5/(1+D5)^17+C5/(1+D5)^18+C5/(1+D5)^19+C5/(1+D5)^19</f>
        <v>46875.804788593574</v>
      </c>
      <c r="F25" s="46">
        <f>C5/(1+D5)^20</f>
        <v>836.8570801087451</v>
      </c>
      <c r="G25" s="46">
        <f t="shared" si="0"/>
        <v>63163.81387009072</v>
      </c>
      <c r="H25" s="47"/>
      <c r="I25" s="44">
        <f>C5</f>
        <v>8669.17</v>
      </c>
      <c r="J25" s="48">
        <f>IRR(I5:I25)</f>
        <v>0.47031656422438645</v>
      </c>
      <c r="K25" s="49">
        <f>G25/E5</f>
        <v>3.8533836068108736</v>
      </c>
    </row>
  </sheetData>
  <sheetProtection selectLockedCells="1" selectUnlockedCells="1"/>
  <mergeCells count="3">
    <mergeCell ref="A1:K1"/>
    <mergeCell ref="A2:K2"/>
    <mergeCell ref="C3:I3"/>
  </mergeCells>
  <printOptions horizontalCentered="1"/>
  <pageMargins left="0.7444444444444445" right="0.18888888888888888" top="0.7479166666666667" bottom="0.7479166666666667" header="0.5118055555555555" footer="0.5118055555555555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2018-02-26T08:43:16Z</cp:lastPrinted>
  <dcterms:created xsi:type="dcterms:W3CDTF">2006-09-16T00:00:00Z</dcterms:created>
  <dcterms:modified xsi:type="dcterms:W3CDTF">2024-04-08T06:53:24Z</dcterms:modified>
  <cp:category/>
  <cp:version/>
  <cp:contentType/>
  <cp:contentStatus/>
  <cp:revision>20</cp:revision>
</cp:coreProperties>
</file>